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315" windowHeight="8955" activeTab="0"/>
  </bookViews>
  <sheets>
    <sheet name="Приложение 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Druckbereich_MI">'[2]Разходи'!#REF!</definedName>
    <definedName name="end" localSheetId="15">'10'!#REF!</definedName>
    <definedName name="end">#REF!</definedName>
    <definedName name="Hide0">#REF!</definedName>
    <definedName name="Hide1">#REF!</definedName>
    <definedName name="Hide2">#REF!</definedName>
    <definedName name="Koef">#REF!</definedName>
    <definedName name="KolBrojPodobni">#REF!</definedName>
    <definedName name="KolDylvina">#REF!</definedName>
    <definedName name="KolMark">#REF!</definedName>
    <definedName name="KolMqsto">#REF!</definedName>
    <definedName name="KolShirina">#REF!</definedName>
    <definedName name="KolSmet">#REF!</definedName>
    <definedName name="KolSum">#REF!</definedName>
    <definedName name="KolWisochina">#REF!</definedName>
    <definedName name="NacProcColFirst">#REF!</definedName>
    <definedName name="NacProcColSecond">#REF!</definedName>
    <definedName name="ObektIme">#REF!</definedName>
    <definedName name="PerfectSoftware">#REF!</definedName>
    <definedName name="_xlnm.Print_Titles" localSheetId="1">'1.2'!$4:$4</definedName>
    <definedName name="_xlnm.Print_Titles" localSheetId="3">'1.4'!$4:$4</definedName>
    <definedName name="_xlnm.Print_Titles" localSheetId="4">'1.5'!$4:$4</definedName>
    <definedName name="_xlnm.Print_Titles" localSheetId="5">'1.6'!$4:$4</definedName>
    <definedName name="_xlnm.Print_Titles" localSheetId="15">'10'!$2:$6</definedName>
    <definedName name="_xlnm.Print_Titles" localSheetId="7">'2'!$2:$2</definedName>
    <definedName name="_xlnm.Print_Titles" localSheetId="10">'5'!$A:$A</definedName>
    <definedName name="_xlnm.Print_Titles" localSheetId="11">'6'!$A:$A</definedName>
    <definedName name="_xlnm.Print_Titles" localSheetId="12">'7'!$4:$5</definedName>
    <definedName name="_xlnm.Print_Titles" localSheetId="13">'8'!$2:$3</definedName>
    <definedName name="_xlnm.Print_Titles" localSheetId="14">'9'!$A:$A</definedName>
    <definedName name="Proweril">#REF!</definedName>
    <definedName name="PSDCen">#REF!</definedName>
    <definedName name="PSDDoData">#REF!</definedName>
    <definedName name="PSDDop">#REF!</definedName>
    <definedName name="PSDEdCen">#REF!</definedName>
    <definedName name="PSDEdDop">#REF!</definedName>
    <definedName name="PSDEdMat">#REF!</definedName>
    <definedName name="PSDEdMex">#REF!</definedName>
    <definedName name="PSDEdRab">#REF!</definedName>
    <definedName name="PSDIme">#REF!</definedName>
    <definedName name="PSDKolichestwo">#REF!</definedName>
    <definedName name="PSDMat">#REF!</definedName>
    <definedName name="PSDMex">#REF!</definedName>
    <definedName name="PSDMqrka">#REF!</definedName>
    <definedName name="PSDNacIme">#REF!</definedName>
    <definedName name="PSDNacObCen">#REF!</definedName>
    <definedName name="PSDNacObDoData">#REF!</definedName>
    <definedName name="PSDNacObDop">#REF!</definedName>
    <definedName name="PSDNacObMat">#REF!</definedName>
    <definedName name="PSDNacObMex">#REF!</definedName>
    <definedName name="PSDNacObOtData">#REF!</definedName>
    <definedName name="PSDNacObRab">#REF!</definedName>
    <definedName name="PSDNacProcFirst">#REF!</definedName>
    <definedName name="PSDNacProcSecond">#REF!</definedName>
    <definedName name="PSDObCen">#REF!</definedName>
    <definedName name="PSDObDoData">#REF!</definedName>
    <definedName name="PSDObDop">#REF!</definedName>
    <definedName name="PSDObMat">#REF!</definedName>
    <definedName name="PSDObMex">#REF!</definedName>
    <definedName name="PSDObOtData">#REF!</definedName>
    <definedName name="PSDObRab">#REF!</definedName>
    <definedName name="PSDOtData">#REF!</definedName>
    <definedName name="PSDRab">#REF!</definedName>
    <definedName name="PSDShifar">#REF!</definedName>
    <definedName name="PSDWsCen">#REF!</definedName>
    <definedName name="PSDWsDoData">#REF!</definedName>
    <definedName name="PSDWsDop">#REF!</definedName>
    <definedName name="PSDWsMat">#REF!</definedName>
    <definedName name="PSDWsMex">#REF!</definedName>
    <definedName name="PSDWsOtData">#REF!</definedName>
    <definedName name="PSDWsRab">#REF!</definedName>
    <definedName name="sex">#REF!</definedName>
    <definedName name="SMRMatCen">#REF!</definedName>
    <definedName name="SMRMatEdCen">#REF!</definedName>
    <definedName name="SMRMatIme">#REF!</definedName>
    <definedName name="SMRMatKol">#REF!</definedName>
    <definedName name="SMRMatMqrka">#REF!</definedName>
    <definedName name="SMRMatObCen">#REF!</definedName>
    <definedName name="SMRMatOldEdCen">#REF!</definedName>
    <definedName name="SMRMexCen">#REF!</definedName>
    <definedName name="SMRMexEdCen">#REF!</definedName>
    <definedName name="SMRMexIme">#REF!</definedName>
    <definedName name="SMRMexKol">#REF!</definedName>
    <definedName name="SMRMexMqrka">#REF!</definedName>
    <definedName name="SMRMexObCen">#REF!</definedName>
    <definedName name="SMRMexObKol">#REF!</definedName>
    <definedName name="SMRMexOldEdCen">#REF!</definedName>
    <definedName name="SMRRabCen">#REF!</definedName>
    <definedName name="SMRRabEdCen">#REF!</definedName>
    <definedName name="SMRRabIme">#REF!</definedName>
    <definedName name="SMRRabKol">#REF!</definedName>
    <definedName name="SMRRabMexObCen">#REF!</definedName>
    <definedName name="SMRRabMqrka">#REF!</definedName>
    <definedName name="SMRRabObCen">#REF!</definedName>
    <definedName name="SMRRabObKol">#REF!</definedName>
    <definedName name="SMRRabOldEdCen">#REF!</definedName>
    <definedName name="Systawil">#REF!</definedName>
    <definedName name="TemplateType">#REF!</definedName>
    <definedName name="ZaObobshtawane">#REF!</definedName>
    <definedName name="ZaObobshtawane1">#REF!</definedName>
    <definedName name="ZaObobshtawane2">#REF!</definedName>
    <definedName name="ZaObobshtawaneCopy0">#REF!</definedName>
    <definedName name="ZaObobshtawaneCopy1">#REF!</definedName>
    <definedName name="ZaObobshtawaneCopy2">#REF!</definedName>
    <definedName name="НКИД">#REF!</definedName>
    <definedName name="РУСО">#REF!</definedName>
  </definedNames>
  <calcPr fullCalcOnLoad="1"/>
</workbook>
</file>

<file path=xl/comments5.xml><?xml version="1.0" encoding="utf-8"?>
<comments xmlns="http://schemas.openxmlformats.org/spreadsheetml/2006/main">
  <authors>
    <author>Volodia Simov</author>
  </authors>
  <commentList>
    <comment ref="E67" authorId="0">
      <text>
        <r>
          <rPr>
            <b/>
            <sz val="8"/>
            <rFont val="Tahoma"/>
            <family val="2"/>
          </rPr>
          <t>Volodia Simov:</t>
        </r>
        <r>
          <rPr>
            <sz val="8"/>
            <rFont val="Tahoma"/>
            <family val="2"/>
          </rPr>
          <t xml:space="preserve">
дка</t>
        </r>
      </text>
    </comment>
    <comment ref="E66" authorId="0">
      <text>
        <r>
          <rPr>
            <b/>
            <sz val="8"/>
            <rFont val="Tahoma"/>
            <family val="2"/>
          </rPr>
          <t>Volodia Simov:</t>
        </r>
        <r>
          <rPr>
            <sz val="8"/>
            <rFont val="Tahoma"/>
            <family val="2"/>
          </rPr>
          <t xml:space="preserve">
дка</t>
        </r>
      </text>
    </comment>
    <comment ref="E38" authorId="0">
      <text>
        <r>
          <rPr>
            <b/>
            <sz val="8"/>
            <rFont val="Tahoma"/>
            <family val="2"/>
          </rPr>
          <t>Volodia Simov:</t>
        </r>
        <r>
          <rPr>
            <sz val="8"/>
            <rFont val="Tahoma"/>
            <family val="2"/>
          </rPr>
          <t xml:space="preserve">
Коригирано с РМС</t>
        </r>
      </text>
    </comment>
  </commentList>
</comments>
</file>

<file path=xl/comments8.xml><?xml version="1.0" encoding="utf-8"?>
<comments xmlns="http://schemas.openxmlformats.org/spreadsheetml/2006/main">
  <authors>
    <author>Volodia Simov</author>
  </authors>
  <commentList>
    <comment ref="R15" authorId="0">
      <text>
        <r>
          <rPr>
            <b/>
            <sz val="8"/>
            <rFont val="Tahoma"/>
            <family val="2"/>
          </rPr>
          <t>Volodia Simov:</t>
        </r>
        <r>
          <rPr>
            <sz val="8"/>
            <rFont val="Tahoma"/>
            <family val="2"/>
          </rPr>
          <t xml:space="preserve">
Предварителни данни за м.12.2014 г.</t>
        </r>
      </text>
    </comment>
  </commentList>
</comments>
</file>

<file path=xl/sharedStrings.xml><?xml version="1.0" encoding="utf-8"?>
<sst xmlns="http://schemas.openxmlformats.org/spreadsheetml/2006/main" count="6406" uniqueCount="3378">
  <si>
    <t>Социални и здравни осигуровки за сметка на работодателите - %</t>
  </si>
  <si>
    <t>Други социални разходи и надбавки - %</t>
  </si>
  <si>
    <t>Данък върху социалните разходи - %</t>
  </si>
  <si>
    <t>Групи предприятия според броя на заетите лица</t>
  </si>
  <si>
    <t>1-9</t>
  </si>
  <si>
    <t>10-19</t>
  </si>
  <si>
    <t>20-49</t>
  </si>
  <si>
    <t>50-249</t>
  </si>
  <si>
    <t>250+</t>
  </si>
  <si>
    <t>..</t>
  </si>
  <si>
    <t>Оборот - хил. лв.</t>
  </si>
  <si>
    <t>Добавена стойност по факторни разходи - хил. лв.</t>
  </si>
  <si>
    <t>Статистически район</t>
  </si>
  <si>
    <t>Северо-
западен</t>
  </si>
  <si>
    <t>Северен
централен</t>
  </si>
  <si>
    <t>Северо-
източен</t>
  </si>
  <si>
    <t>Юго-
източен</t>
  </si>
  <si>
    <t>Юго-
западен</t>
  </si>
  <si>
    <t>Южен
 централен</t>
  </si>
  <si>
    <t>Разходи за възнаграждения - хил. лв.</t>
  </si>
  <si>
    <t>Район за планиране</t>
  </si>
  <si>
    <t>Код на Евростат</t>
  </si>
  <si>
    <t>0-9</t>
  </si>
  <si>
    <t>Брой на нефинансовите предприятия</t>
  </si>
  <si>
    <t>Заети лица в нефинансовите предприятия</t>
  </si>
  <si>
    <t>ДМА в нефинансовите предприятия - хил.лв.</t>
  </si>
  <si>
    <t>Приходи от дейността на нефинансовите предприятия - хил.лв.</t>
  </si>
  <si>
    <t>Разходи за дейността на нефинансовите предприятия</t>
  </si>
  <si>
    <t xml:space="preserve">Брой местни единици - бр. </t>
  </si>
  <si>
    <r>
      <t>ОСНОВНИ ИКОНОМИЧЕСКИ ПОКАЗАТЕЛИ ЗА СЕКТОР "ДОБИВНА ПРОМИШЛЕНОСТ" -  2002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</si>
  <si>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r>
      <t>ОСНОВНИ ИКОНОМИЧЕСКИ ПОКАЗАТЕЛИ ЗА СЕКТОР "ДОБИВНА ПРОМИШЛЕНОСТ" -  2003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</si>
  <si>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r>
      <t>ОСНОВНИ ИКОНОМИЧЕСКИ ПОКАЗАТЕЛИ ЗА СЕКТОР "ДОБИВНА ПРОМИШЛЕНОСТ" -  2004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</si>
  <si>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r>
      <t>ОСНОВНИ ИКОНОМИЧЕСКИ ПОКАЗАТЕЛИ ЗА СЕКТОР "ДОБИВНА ПРОМИШЛЕНОСТ" -  2005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</si>
  <si>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t>D - 00365</t>
  </si>
  <si>
    <t>D - 00366</t>
  </si>
  <si>
    <t>D - 00367</t>
  </si>
  <si>
    <t>D - 00369</t>
  </si>
  <si>
    <t>D - 00370</t>
  </si>
  <si>
    <t>D - 00372</t>
  </si>
  <si>
    <t>D - 00373</t>
  </si>
  <si>
    <t>D - 00375</t>
  </si>
  <si>
    <t>D - 00377</t>
  </si>
  <si>
    <t>D - 00378</t>
  </si>
  <si>
    <t>D - 00379</t>
  </si>
  <si>
    <t>D - 00380</t>
  </si>
  <si>
    <t>D - 00389</t>
  </si>
  <si>
    <t>D - 00390</t>
  </si>
  <si>
    <t>D - 00391</t>
  </si>
  <si>
    <t>D - 00392</t>
  </si>
  <si>
    <t>D - 00393</t>
  </si>
  <si>
    <t>D - 00394</t>
  </si>
  <si>
    <t>D - 00395</t>
  </si>
  <si>
    <t>D - 00396</t>
  </si>
  <si>
    <t>D - 00398</t>
  </si>
  <si>
    <t>D - 00399</t>
  </si>
  <si>
    <t>D - 00400</t>
  </si>
  <si>
    <t>D - 00401</t>
  </si>
  <si>
    <t>D - 00402</t>
  </si>
  <si>
    <t>D - 00403</t>
  </si>
  <si>
    <t>D - 00404</t>
  </si>
  <si>
    <t>D - 00406</t>
  </si>
  <si>
    <t>D - 00407</t>
  </si>
  <si>
    <t>D - 00409</t>
  </si>
  <si>
    <t>D - 00411</t>
  </si>
  <si>
    <t>D - 00419</t>
  </si>
  <si>
    <t>D - 00420</t>
  </si>
  <si>
    <t>D - 00423</t>
  </si>
  <si>
    <t>D - 00426</t>
  </si>
  <si>
    <t>D - 00427</t>
  </si>
  <si>
    <t>D - 00430</t>
  </si>
  <si>
    <t>D - 00431</t>
  </si>
  <si>
    <t>D - 00432</t>
  </si>
  <si>
    <t>D - 00433</t>
  </si>
  <si>
    <t>D - 00434</t>
  </si>
  <si>
    <t>D - 00436</t>
  </si>
  <si>
    <t>D - 00438</t>
  </si>
  <si>
    <t>D - 00439</t>
  </si>
  <si>
    <t>D - 00440</t>
  </si>
  <si>
    <t>D - 00442</t>
  </si>
  <si>
    <t>D - 00443</t>
  </si>
  <si>
    <t>D - 00444</t>
  </si>
  <si>
    <t>D - 00445</t>
  </si>
  <si>
    <t>D - 00449</t>
  </si>
  <si>
    <t>D - 00450</t>
  </si>
  <si>
    <t>D - 00451</t>
  </si>
  <si>
    <t>D - 00452</t>
  </si>
  <si>
    <t>D - 00453</t>
  </si>
  <si>
    <t>D - 00454</t>
  </si>
  <si>
    <t>D - 00455</t>
  </si>
  <si>
    <t>D - 00457</t>
  </si>
  <si>
    <t>D - 00467</t>
  </si>
  <si>
    <t>D - 00468</t>
  </si>
  <si>
    <t>D - 00469</t>
  </si>
  <si>
    <t>D - 00470</t>
  </si>
  <si>
    <t>"Аламура", общ.Стара Загора, обл.Стара Загора</t>
  </si>
  <si>
    <t>варовици и долерити</t>
  </si>
  <si>
    <t>09.02.2005 г.</t>
  </si>
  <si>
    <t xml:space="preserve">"ИСА - 2000" ЕООД, гр.София </t>
  </si>
  <si>
    <t>№ 390 от 10.05.2004 г.
№ 619 от 17.09.2007 г.</t>
  </si>
  <si>
    <t>№ 152 от 01.03.2005 г.</t>
  </si>
  <si>
    <t>"Канарата", общ.Баните, обл.Смолян</t>
  </si>
  <si>
    <t>16.04.2003 г.</t>
  </si>
  <si>
    <t>16.06.2000 г.</t>
  </si>
  <si>
    <t>"Йонтех" ООД</t>
  </si>
  <si>
    <t xml:space="preserve">мед от окислени медни руди </t>
  </si>
  <si>
    <t>D - 00215</t>
  </si>
  <si>
    <t>16.06.2003 г.</t>
  </si>
  <si>
    <t>производствени технологични отпадъци</t>
  </si>
  <si>
    <t>№ 330 от 30.04.2003 г.</t>
  </si>
  <si>
    <t>D - 00254</t>
  </si>
  <si>
    <t>14.07.2004 г.</t>
  </si>
  <si>
    <t>* Данните за 2014 г. са предварителни.</t>
  </si>
  <si>
    <t xml:space="preserve">ПРОИЗВОДСТВО И ДОСТАВКИ НА ЕЛЕКТРОЕНЕРГИЯ </t>
  </si>
  <si>
    <t>Един. мярка</t>
  </si>
  <si>
    <t>2001-2014</t>
  </si>
  <si>
    <t>Брутно производство</t>
  </si>
  <si>
    <t>ГВтч</t>
  </si>
  <si>
    <t>Нетно производство</t>
  </si>
  <si>
    <t>Внос</t>
  </si>
  <si>
    <t>Износ</t>
  </si>
  <si>
    <t>Нетно вътрешно потребление</t>
  </si>
  <si>
    <t>РАЗХОД НА ГОРИВА ЗА ПРОИЗВОДСТВО НА ЕЛЕКТРОЕНЕРГИЯ В ОБЩЕСТВЕНИ ТЕЦ</t>
  </si>
  <si>
    <t>Висококалорични въглища</t>
  </si>
  <si>
    <t>хил.т</t>
  </si>
  <si>
    <t>ТДж</t>
  </si>
  <si>
    <t xml:space="preserve">Нискокалорични въглища               </t>
  </si>
  <si>
    <t xml:space="preserve">Нефтопродукти                               </t>
  </si>
  <si>
    <t xml:space="preserve">Природен газ                                 </t>
  </si>
  <si>
    <t xml:space="preserve">Коксов и доменен газ                         </t>
  </si>
  <si>
    <t xml:space="preserve">Други горива                                       </t>
  </si>
  <si>
    <t xml:space="preserve">Общо                                                  </t>
  </si>
  <si>
    <t>* Данните за 2014 г. са предварителни за единадесетте месеца на годината.</t>
  </si>
  <si>
    <t>"Каменец", у-к "Каменец - 1" 
и у-к "Каменец - 2", общ.Стралджа, обл.Ямбол</t>
  </si>
  <si>
    <t>12.03.2009 г.</t>
  </si>
  <si>
    <t>№ 332 от 12.05.2009 г.</t>
  </si>
  <si>
    <t>"Крушака", с.Маринка, общ.Бургас, обл.Бургас</t>
  </si>
  <si>
    <t>вулканити (базалтоиди и трахитови туфи)</t>
  </si>
  <si>
    <t>17.06.2009 г.</t>
  </si>
  <si>
    <t>"Берил" ООД, гр.Бургас</t>
  </si>
  <si>
    <t>№ 453 от 10.06.2009 г.</t>
  </si>
  <si>
    <t>Ломенска кория", с.Върбовка, общ.Павликени, обл.Велико Търново</t>
  </si>
  <si>
    <t>02.07.2009 г.</t>
  </si>
  <si>
    <t xml:space="preserve">"Пътинженеринг" ООД, гр.Русе </t>
  </si>
  <si>
    <t>№ 262 от 14.04.2009 г.</t>
  </si>
  <si>
    <t>08.07.2009 г.</t>
  </si>
  <si>
    <t>07.04.2003 г.</t>
  </si>
  <si>
    <t>"Тера" АД, гр.Червен бряг</t>
  </si>
  <si>
    <t>№ 307 от 27.04.2009 г.</t>
  </si>
  <si>
    <t>"Червен бряг" ("Банчовското") общ.Червен бряг, обл.Плевен</t>
  </si>
  <si>
    <t>09.07.2009 г.</t>
  </si>
  <si>
    <t>"Цареви ливади - изток", общ.Суворово, обл.Варна</t>
  </si>
  <si>
    <t>ЕТ "Морски бряг-Васил Василев", гр.Варна</t>
  </si>
  <si>
    <t>№ 578 от 02.07.2009 г.</t>
  </si>
  <si>
    <t>"Кошарите", общ.Сливница и общ.Костинброд, обл.София</t>
  </si>
  <si>
    <t>"Кариери за чакъл и пясък - България" ЕАД, гр.София</t>
  </si>
  <si>
    <t>22.12.2009 г.</t>
  </si>
  <si>
    <t>№ 621 от 20.07.2009 г.</t>
  </si>
  <si>
    <t>"Блатец", с.Блатец, общ.Сливен, обл.Сливен</t>
  </si>
  <si>
    <t>"Керамик" ЕООД, гр.Сливен</t>
  </si>
  <si>
    <t>Дата на 
влизане в сила на концесионния договор</t>
  </si>
  <si>
    <r>
      <t>Концесионна площ
(м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</si>
  <si>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„Черноморски въглищен басейн”, обл.Бургас</t>
  </si>
  <si>
    <t>№ 847 от 19.12.2002 г.</t>
  </si>
  <si>
    <t>14.7.2003 г.</t>
  </si>
  <si>
    <t>D - 00316</t>
  </si>
  <si>
    <t>04.04.2002 г.</t>
  </si>
  <si>
    <t>№ 232 от 19.04.2002 г.</t>
  </si>
  <si>
    <t>„Чукурово”, Софийска област</t>
  </si>
  <si>
    <t>D - 00317</t>
  </si>
  <si>
    <t>№79 от 09.02.2005 г.
№ 108 от 19.02.2007 – анекс за прехвърляне права от МБД</t>
  </si>
  <si>
    <t xml:space="preserve">25.05.2005 г.
26.02.2007 г. - анекс за прехв. права от МБД </t>
  </si>
  <si>
    <t>№ 481 от 29.06.2001 г.</t>
  </si>
  <si>
    <t>11.05.2002 г.</t>
  </si>
  <si>
    <t>01.01.2000 г.</t>
  </si>
  <si>
    <t>„Пернишки въглищен басейн” – у-к „Бела вода”, обл.Перник</t>
  </si>
  <si>
    <t>D - 00318</t>
  </si>
  <si>
    <t>№ 233 от 19.04.2002 г.</t>
  </si>
  <si>
    <t>01.11.2001 г.</t>
  </si>
  <si>
    <t>„Бели брег”, общ.Драгоман, Софийска област</t>
  </si>
  <si>
    <t>D - 00320</t>
  </si>
  <si>
    <t>№ 854 от 01.11.2005 г.</t>
  </si>
  <si>
    <t>01.01.2006 г.</t>
  </si>
  <si>
    <t>„Боров дол”, общ.Твърдица, обл.Сливен</t>
  </si>
  <si>
    <t>D - 00319</t>
  </si>
  <si>
    <t>12.07.2010 г.</t>
  </si>
  <si>
    <t>D - 00261</t>
  </si>
  <si>
    <t>23.11.2007 г.</t>
  </si>
  <si>
    <t>№ 664 от 16.10.2007 г.
изм. 04.03.2010 г.</t>
  </si>
  <si>
    <t>№ 654 от 09.10.2007 г.</t>
  </si>
  <si>
    <t>"Гечовското", общ.Луковит, обл.Ловеч</t>
  </si>
  <si>
    <t>19.10.2007 г.</t>
  </si>
  <si>
    <t>"АСС Инженеринг" ООД, гр.Луковит</t>
  </si>
  <si>
    <t xml:space="preserve">№ 621 от 19.09.2007 г. </t>
  </si>
  <si>
    <t>"Езерото", общ.Чипровци, обл.Монтана</t>
  </si>
  <si>
    <t>диабази</t>
  </si>
  <si>
    <t xml:space="preserve">"Пътинженеринг - М" ЕАД, гр.Монтана </t>
  </si>
  <si>
    <t>29.10.2007 г.</t>
  </si>
  <si>
    <t>№ 663 от 16.10.2007 г.</t>
  </si>
  <si>
    <t>"Дръмски връх", общ.Драгоман, обл.София</t>
  </si>
  <si>
    <t>"Плена България" ЕООД, гр.София</t>
  </si>
  <si>
    <t>№ 801 от 04.12.2007 г.</t>
  </si>
  <si>
    <t>"Твърдица", общ.Твърдица, обл.Сливен</t>
  </si>
  <si>
    <t>21.12.2007 г.</t>
  </si>
  <si>
    <t>№ 883 от 20.12.2006 г.
№ 457 от 06.07.2006 г.</t>
  </si>
  <si>
    <t>№ 323 от 08.05.2007 г.</t>
  </si>
  <si>
    <t>18.06.2007 г.</t>
  </si>
  <si>
    <t>"АГРО ЕРГ" ООД, гр.Пловдив</t>
  </si>
  <si>
    <t xml:space="preserve">№ 809 от 23.11.2006 г. </t>
  </si>
  <si>
    <t>"Клокотница", общ.Димитровград и общ.Хасково, обл.Хасково</t>
  </si>
  <si>
    <t>25.11.2001 г.</t>
  </si>
  <si>
    <t xml:space="preserve">"АБ" АД, гр.Хасково </t>
  </si>
  <si>
    <t>"Узунпара", общ.Стамболийски и общ.Родопи, обл.Пловдив</t>
  </si>
  <si>
    <t>№ 72 от 06.02.2006 г.</t>
  </si>
  <si>
    <t>"Марчево", общ.Гърмен, обл.Благоевград</t>
  </si>
  <si>
    <t>17.03.2006 г.</t>
  </si>
  <si>
    <t>"Бистрица 2002" ЕООД, гр.Гоце Делчев</t>
  </si>
  <si>
    <t>№ 71 от 06.02.2006 г.</t>
  </si>
  <si>
    <t>"Чифлика", общ.Асеновград, обл.Пловдив</t>
  </si>
  <si>
    <t>12.03.2008 г.</t>
  </si>
  <si>
    <t>"Шумнатица", общ.Перник, обл.Перник</t>
  </si>
  <si>
    <t>22.08.2005 г.</t>
  </si>
  <si>
    <t>"Кариера Студена" ООД, гр.София</t>
  </si>
  <si>
    <t>№ 656 от 13.07.2005 г.
№ 804 от 05.12.2007 г.</t>
  </si>
  <si>
    <t>№544 от 13.08.2007 г.</t>
  </si>
  <si>
    <t>"Батака", общ.Куклен, обл.Пловдив</t>
  </si>
  <si>
    <t xml:space="preserve">"Тракия Керам" ЕООД, гр.Пловдив </t>
  </si>
  <si>
    <t>20.09.2007 г.</t>
  </si>
  <si>
    <t>№ 711 от 28.09.2004 г.</t>
  </si>
  <si>
    <t>"Еневи могили", общ.Тунджа, обл.Ямбол</t>
  </si>
  <si>
    <t>"Петрос - 2001" ООД, гр.Ямбол</t>
  </si>
  <si>
    <t>№ 34 от 25.01.2008 г.</t>
  </si>
  <si>
    <t>"Баалък тепе", общ.Казанлък, обл.Стара Загора</t>
  </si>
  <si>
    <t>базалти</t>
  </si>
  <si>
    <t xml:space="preserve">"Геотранс-инженеринг" ООД, гр.Нова Загора </t>
  </si>
  <si>
    <t>26.02.2008 г.</t>
  </si>
  <si>
    <t>№ 121 от 27.02.2008 г.</t>
  </si>
  <si>
    <t>"Кошарник", у-к "Кошарник-2", общ.Монтана, обл.Монтана</t>
  </si>
  <si>
    <t>"Стройкерамика" ООД, гр.Монтана</t>
  </si>
  <si>
    <t>27.03.2008 г.</t>
  </si>
  <si>
    <t>26.11.1997 г.</t>
  </si>
  <si>
    <t>№ 182 от 28.03.2008 г.</t>
  </si>
  <si>
    <t>"Бозалъка", общ.Момчилград, обл.Кърджали</t>
  </si>
  <si>
    <t>ндезитобазалти</t>
  </si>
  <si>
    <t xml:space="preserve">"Финтекс" ООД, гр.Хасково </t>
  </si>
  <si>
    <t>08.05.2008 г.</t>
  </si>
  <si>
    <t>№ 206 от 08.04.2008 г.</t>
  </si>
  <si>
    <t>Целовижда", с.Опицвет, общ.Костинброд, обл.София</t>
  </si>
  <si>
    <t>варовици, доломити и пясъчници</t>
  </si>
  <si>
    <t>14.05.2008 г.</t>
  </si>
  <si>
    <t xml:space="preserve">ГБС - Инфраструктурно строителство" АД, гр.София </t>
  </si>
  <si>
    <t>D - 00472</t>
  </si>
  <si>
    <t>D - 00473</t>
  </si>
  <si>
    <t>D - 00474</t>
  </si>
  <si>
    <t>D - 00475</t>
  </si>
  <si>
    <t>D - 00476</t>
  </si>
  <si>
    <t>D - 00477</t>
  </si>
  <si>
    <t>D - 00478</t>
  </si>
  <si>
    <t>D - 00479</t>
  </si>
  <si>
    <t>D - 00480</t>
  </si>
  <si>
    <t>D - 00482</t>
  </si>
  <si>
    <t>D - 00483</t>
  </si>
  <si>
    <t>D - 00484</t>
  </si>
  <si>
    <t>D - 00485</t>
  </si>
  <si>
    <t>D - 00486</t>
  </si>
  <si>
    <t>D - 00489</t>
  </si>
  <si>
    <t>№ 242 от 05.04.2005 г.</t>
  </si>
  <si>
    <t>„Пернишки въглищен басейн” – у-к „Гладно поле А”, общ.Перник, обл.Перник</t>
  </si>
  <si>
    <t>D - 00322</t>
  </si>
  <si>
    <t>№ 696 от 07.10.2003 г.</t>
  </si>
  <si>
    <t>17.12.2004 г.</t>
  </si>
  <si>
    <t>27.05.2002 г.</t>
  </si>
  <si>
    <t>Подземен добив на черни въглища.</t>
  </si>
  <si>
    <t>D - 00324</t>
  </si>
  <si>
    <t>№ 102 от 18.02.2004 г.</t>
  </si>
  <si>
    <t>07.02.2005 г.</t>
  </si>
  <si>
    <t>26.07.2005 г.</t>
  </si>
  <si>
    <t>23.06.2004 г.</t>
  </si>
  <si>
    <t>„Бобовдолски въглищен басейн” – у-к „Бабино”, общ.Бобов дол, обл.Кюстендил</t>
  </si>
  <si>
    <t>„Бобовдолски въглищен басейн” – у-к „Бобов дол”, общ.Бобов дол, обл.Кюстендил</t>
  </si>
  <si>
    <t>„Бобовдолски въглищен басейн” – у-к „Миньор”,  общ.Бобов дол, обл.Кюстендил</t>
  </si>
  <si>
    <t>D - 00325</t>
  </si>
  <si>
    <t>13.08.2004 г.</t>
  </si>
  <si>
    <t>№ 780 от 12.11.2003 г.</t>
  </si>
  <si>
    <t>„Пернишки въглищен басейн”,
обл.Перник, общ.Перник</t>
  </si>
  <si>
    <t>D - 00326</t>
  </si>
  <si>
    <t>№ 211 от 15.04.2002 г.</t>
  </si>
  <si>
    <t>25.05.2002 г.</t>
  </si>
  <si>
    <t>15.4.2002 г.</t>
  </si>
  <si>
    <t>„Станянци”, Софийска област</t>
  </si>
  <si>
    <t>D - 00327</t>
  </si>
  <si>
    <t>№ 78 от 9.02.2005 г.
№ 107 от 19.02.2007 г. – анекс за прехвърляне права от МБД</t>
  </si>
  <si>
    <t xml:space="preserve">24.03.2005 г.
26.02.2007 г. - анекс за прехв. права от МБД </t>
  </si>
  <si>
    <t xml:space="preserve">24.03.2006 г.
</t>
  </si>
  <si>
    <t xml:space="preserve">25.05.2005 г.
</t>
  </si>
  <si>
    <t>КОНЦЕСИИ ЗА ДОБИВ НА ПОДЗЕМНИ БОГАТСТВА - МЕТАЛНИ ПОЛЕЗНИ ИЗКОПАЕМИ</t>
  </si>
  <si>
    <t>"Асарел",  общ.Панагюрище, обл.Пазарджик</t>
  </si>
  <si>
    <t>23.12.1998 г.</t>
  </si>
  <si>
    <t>№ 219 от 17.04.2002 г.</t>
  </si>
  <si>
    <t>20.05.2002 г.</t>
  </si>
  <si>
    <t>„Лев”, общ.Трявна, обл.Габрово</t>
  </si>
  <si>
    <t>Мина „Лев” ООД *</t>
  </si>
  <si>
    <t>D - 00323</t>
  </si>
  <si>
    <t>D - 00328</t>
  </si>
  <si>
    <t>Мина „Балкан 2000” АД *</t>
  </si>
  <si>
    <t>“Паисий”, общ.Гурково, обл.Стара Загора</t>
  </si>
  <si>
    <t>14.04.2004 г.</t>
  </si>
  <si>
    <t>№ 135 от 01.13.2004 г.</t>
  </si>
  <si>
    <t>70/2003</t>
  </si>
  <si>
    <t>37/2001</t>
  </si>
  <si>
    <t>"Мелроуз Рисорсиз" ООД, Люксембург</t>
  </si>
  <si>
    <t>62/2012</t>
  </si>
  <si>
    <t>26.02.2013 г.</t>
  </si>
  <si>
    <t>Съгласно договора</t>
  </si>
  <si>
    <t>60/2004</t>
  </si>
  <si>
    <t>57/2004</t>
  </si>
  <si>
    <t>70/2003, изм. и доп. 57/2005</t>
  </si>
  <si>
    <t>25/2004</t>
  </si>
  <si>
    <t>39/1999</t>
  </si>
  <si>
    <t>"Болкан Минерал енд Майнинг" ЕАД, с. Челопеч</t>
  </si>
  <si>
    <t>златосъдържащи руди</t>
  </si>
  <si>
    <t>15/2011</t>
  </si>
  <si>
    <t>25.04.2012 г.</t>
  </si>
  <si>
    <t>"Асарел - Медет" АД, гр. Панагюрище</t>
  </si>
  <si>
    <t>137/1998</t>
  </si>
  <si>
    <t>42/2009</t>
  </si>
  <si>
    <t>медно-златни руди</t>
  </si>
  <si>
    <t>73/2011</t>
  </si>
  <si>
    <t>19.03.2012 г.</t>
  </si>
  <si>
    <t>104/2004</t>
  </si>
  <si>
    <t>"Мелроуз Рисорсиз" ООД,
гр.Варна</t>
  </si>
  <si>
    <t>Концесионери: 1   Концесии: 4</t>
  </si>
  <si>
    <t>"Каварна Изток" - континент. шелф на Черно море</t>
  </si>
  <si>
    <t>Концесионери: 2  Концесии: 7</t>
  </si>
  <si>
    <t>"Шереметя", у-к "Изток", с.Драгижево, общ.Лясковец и с.Шереметя, общ.Велико Търново, обл.Велико Търново</t>
  </si>
  <si>
    <t>D - 00614</t>
  </si>
  <si>
    <t>"Дядово - Биндер", с.Дядово, общ.Нова Загора, обл.Сливен</t>
  </si>
  <si>
    <t>D - 00615</t>
  </si>
  <si>
    <t>"Ханово", с.Ханово и с.Тенево, общ.Тунджа, обл.Ямбол</t>
  </si>
  <si>
    <t>D - 00617</t>
  </si>
  <si>
    <t>"Кариерата", с.Полски извор, общ.Камено, обл.Бургас</t>
  </si>
  <si>
    <t>D - 00618</t>
  </si>
  <si>
    <t>"Студена", у-к "Магстрой", с.Студена и с.Витошко, общ.Перник, обл.Перник</t>
  </si>
  <si>
    <t>D - 00620</t>
  </si>
  <si>
    <t>"Бинкос", с.Струпец и с.Бинкос, общ.Сливен, обл.Сливен</t>
  </si>
  <si>
    <t>D - 00621</t>
  </si>
  <si>
    <t>"Дюзка чешма", с.Крепост, общ.Димитровград, обл.Хасково</t>
  </si>
  <si>
    <t>едностранно от една от страните</t>
  </si>
  <si>
    <t>изтичане срока на кондесията</t>
  </si>
  <si>
    <t>D - 00622</t>
  </si>
  <si>
    <t>"Крачола", у-к "Централен", с.Бояджик и с.Гълъбинци, общ.Тунджа, обл.Ямбол</t>
  </si>
  <si>
    <t>D - 00623</t>
  </si>
  <si>
    <t>"Трите чешми", с.Дълбоки извор и с.Поройна, общ.Първомай, обл.Пловдив.</t>
  </si>
  <si>
    <t>D - 00628</t>
  </si>
  <si>
    <t>"Гредо", у-ци "Охрид" и "Палилула", с.Охрид и с.Палилула, общ.Бойчинов-ци, обл.Монтана</t>
  </si>
  <si>
    <t>прекратен с РМС №620 ит 20.07.2009 г.</t>
  </si>
  <si>
    <t>D - 00630</t>
  </si>
  <si>
    <t>"Ново Оряхово", с.Ново Оряхово, общ.Долни чифлик, обл.Варна</t>
  </si>
  <si>
    <t>D - 00631</t>
  </si>
  <si>
    <t>"Крушата - 1", с.Мусомища, общ.Гоце Делчев, обл.Благоевград</t>
  </si>
  <si>
    <t>D - 00632</t>
  </si>
  <si>
    <t>"Долно Белотинци", с.Долно Белотинци, общ.Монтана, обл.Монтана</t>
  </si>
  <si>
    <t>D - 00633</t>
  </si>
  <si>
    <t>'Могилино", с.Могилино, общ.Две могили, обл.Русе</t>
  </si>
  <si>
    <t>D - 00634</t>
  </si>
  <si>
    <t>"Ениер", с.Доброплодно, общ.Ветрино, обл.Варна</t>
  </si>
  <si>
    <t>D - 00636</t>
  </si>
  <si>
    <t>"Копривец", с.Копривец, общ.Бяла, обл.Русе</t>
  </si>
  <si>
    <t>D - 00637</t>
  </si>
  <si>
    <t>"Дъскотна", у-ци "Северен" и "Южен", с.Вишна и с.Дъскотна, общ.Руен, обл.Бургас</t>
  </si>
  <si>
    <t>D - 00638</t>
  </si>
  <si>
    <t>"Мътница 2", гр.Шумен, общ.Шумен, обл.Шумен</t>
  </si>
  <si>
    <t>D - 00639</t>
  </si>
  <si>
    <t>"Пиринка", с.Илинденци, общ.Струмяни, обл.Благоевград</t>
  </si>
  <si>
    <t>D - 00640</t>
  </si>
  <si>
    <t>"Кайряка", с.Росен, общ.Пазарджик, обл.Пазарджик</t>
  </si>
  <si>
    <t>D - 00641</t>
  </si>
  <si>
    <t>"Долна Вереница", с.Долна Вереница, общ.Монтана, обл.Монтана</t>
  </si>
  <si>
    <t>D - 00643</t>
  </si>
  <si>
    <t>"Плочата", с.Горна Кремена, общ.Мездра, обл.Враца</t>
  </si>
  <si>
    <t>25.07.2008 г.</t>
  </si>
  <si>
    <t>"Копривлен - мрамор"ООД, с.Копривлен, общ.Хаджиди-мово, обл.Благоевград</t>
  </si>
  <si>
    <t>№ 474 от 21.07.2008 г.</t>
  </si>
  <si>
    <t>"Пръшковица", с.Бързия, общ.Берковица, обл.Монтана</t>
  </si>
  <si>
    <t>гранити</t>
  </si>
  <si>
    <t>29.08.2008 г.</t>
  </si>
  <si>
    <t>№ 186 от 24.03.2009 г.</t>
  </si>
  <si>
    <t>"Равнище", с.Върбешница, общ.Мездра, обл.Враца</t>
  </si>
  <si>
    <t xml:space="preserve">"АТ инженеринг 2000" ООД, гр.София </t>
  </si>
  <si>
    <t>18.5.2009 г.</t>
  </si>
  <si>
    <t>№ 135 от 05.03.2009 г.</t>
  </si>
  <si>
    <t>"Бени", с.Петревене, общ.Луковит, обл.Ловеч</t>
  </si>
  <si>
    <t>"Агенор - 3" ООД, гр.София</t>
  </si>
  <si>
    <t>15.04.2009 г.</t>
  </si>
  <si>
    <t>№ 206 от 30.09.2009 г.</t>
  </si>
  <si>
    <t>"Фабриката 2", с.Кобилино, общ.Ивайловград, обл.Хасково</t>
  </si>
  <si>
    <t>"Диспиан-строй" ООД, гр.Смолян</t>
  </si>
  <si>
    <t>№ 597 от 29.06.2005 г.</t>
  </si>
  <si>
    <t>"Калов баир", общ.Камено, обл.Бургас</t>
  </si>
  <si>
    <t>28.07.2005 г.</t>
  </si>
  <si>
    <t>"Андезит" ООД, гр.Бургас</t>
  </si>
  <si>
    <t xml:space="preserve">№ 915 от 28.11.2005 г. </t>
  </si>
  <si>
    <t xml:space="preserve"> "Кючук гьол", общ.Карнобат, обл.Бургас</t>
  </si>
  <si>
    <t>06.01.2006 г.</t>
  </si>
  <si>
    <t>№ 999 от 27.12.2005 г.</t>
  </si>
  <si>
    <t>"Цареви ливади", общ.Суворово, обл.Варна</t>
  </si>
  <si>
    <t>03.02.2006 г.</t>
  </si>
  <si>
    <t>"Фининвестмънт" ЕООД, гр.Варна</t>
  </si>
  <si>
    <t>№ 429 от 12.05.2005 г.</t>
  </si>
  <si>
    <t>трахибазалти</t>
  </si>
  <si>
    <t>"Иречеково", общ.Стралджа, обл.Ямбол</t>
  </si>
  <si>
    <t>27.06.2005 г.</t>
  </si>
  <si>
    <t>"Технострой-инженеринг-99" АД, гр.Ямбол</t>
  </si>
  <si>
    <t>№ 515 от 30.05.2005 г.</t>
  </si>
  <si>
    <t>"Маломир", общ."Тунджа", обл.Ямбол</t>
  </si>
  <si>
    <t>"Станчов връх", общ.Луковит, обл.Ловеч</t>
  </si>
  <si>
    <t>"Успех" АД, гр.София</t>
  </si>
  <si>
    <t>№ 948 от 03.12.2004 г.
№ 804 от 05.12.2007 г.</t>
  </si>
  <si>
    <t>"Инджейско блато", общ.Несебър, обл.Бургас</t>
  </si>
  <si>
    <t>06.07.2005 г.</t>
  </si>
  <si>
    <t>№ 516 от 30.05.2005 г.
№ 804 от 05.12.2007 г.</t>
  </si>
  <si>
    <t>"Трансатлантик Фрейтърс България" ЕООД, гр.Бургас</t>
  </si>
  <si>
    <t>№914 от 28.11.2005 г.</t>
  </si>
  <si>
    <t>"Сушево", общ.Момчилград, обл.Кърджали</t>
  </si>
  <si>
    <t>"Устра - холдинг" АД, гр.Кърджали</t>
  </si>
  <si>
    <t>№ 740 от 07.09.2005 г.</t>
  </si>
  <si>
    <t>"Таньова могила", общ. Лясковец, обл.Велико Търново</t>
  </si>
  <si>
    <t>12.10.2005 г.</t>
  </si>
  <si>
    <t>"Мизия" АД, 
гр.Горна Оряховица</t>
  </si>
  <si>
    <t>№ 340 от 16.05.2007 г.</t>
  </si>
  <si>
    <t>"Колибар чешма", общ. Ивайловград, обл.Хасково</t>
  </si>
  <si>
    <t>29.06.2007 г.</t>
  </si>
  <si>
    <t xml:space="preserve">"Пътстройинженеринг" АД, гр.Кърджали </t>
  </si>
  <si>
    <t>№ 661 от 04.09.2006 г.</t>
  </si>
  <si>
    <t>"Бъркач", общ.Долни Дъбник, обл.Плевен</t>
  </si>
  <si>
    <t>"Пътно строителство" АД, гр.Разград</t>
  </si>
  <si>
    <t>"Кубрат", гр.Кубрат, общ.Кубрат, обл.Разград</t>
  </si>
  <si>
    <t>O - 00609</t>
  </si>
  <si>
    <t>"Хидроминерал" ООД, гр.София</t>
  </si>
  <si>
    <t xml:space="preserve">"Лъката", с.Славовица, общ.Долна Митрополия, обл.Плевен </t>
  </si>
  <si>
    <t>O - 00626</t>
  </si>
  <si>
    <t>"Опака", гр.Опака, общ.Опака, обл.Търговище</t>
  </si>
  <si>
    <t>O - 00627</t>
  </si>
  <si>
    <t>"Кариерата", гр.Попово, общ.Попово, обл.Търговище</t>
  </si>
  <si>
    <t>пясъци и чакъли /баластра/</t>
  </si>
  <si>
    <t>O - 00632</t>
  </si>
  <si>
    <t>"Запрянови - 03" ООД, гр.Асеновград</t>
  </si>
  <si>
    <t>"НВГ Кариери" ООД, гр.Пловдив</t>
  </si>
  <si>
    <t>"Магма 2005" ООД, гр.Първомай</t>
  </si>
  <si>
    <t>"Персенк Инвест" ООД, гр.Пловдив</t>
  </si>
  <si>
    <t>"Литос Комерс" ЕООД, гр.Асеновград</t>
  </si>
  <si>
    <t>речна баластра</t>
  </si>
  <si>
    <t>O - 00670</t>
  </si>
  <si>
    <t>"Стремон 95" ООД, гр.Първомай</t>
  </si>
  <si>
    <t>"Малката кория", кв.Дебър, общ.Първомай, обл.Пловдив</t>
  </si>
  <si>
    <t>O - 00676</t>
  </si>
  <si>
    <t xml:space="preserve">ПИ № 111014, м."Адъта", с.Александрово, общ.Ловеч </t>
  </si>
  <si>
    <t>O - 00684</t>
  </si>
  <si>
    <t>"Ляхово - изток", общ.Балчик, обл.Добрич</t>
  </si>
  <si>
    <t>"Бялата вода", общ.Белослав, обл.Варна</t>
  </si>
  <si>
    <t>O - 00708</t>
  </si>
  <si>
    <t>O - 00726</t>
  </si>
  <si>
    <t>"Адата - изток", кв.Дебър, гр.Първомай, обл.Пловдив</t>
  </si>
  <si>
    <t>O - 00774</t>
  </si>
  <si>
    <t>"Комфорт" ООД, гр.Варна</t>
  </si>
  <si>
    <t>O - 00794</t>
  </si>
  <si>
    <t>с.Каменец, м."Чукура", общ.Стралджа, обл.Ямбол</t>
  </si>
  <si>
    <t>"Кофалджа", гр.Главиница, общ.Главиница, обл.Силистра</t>
  </si>
  <si>
    <t>O - 00795</t>
  </si>
  <si>
    <t>ПРЕКРАТЕНИ КОНЦЕСИИ ЗА ДОБИВ НА ПОДЗЕМНИ БОГАТСТВА - НЕМЕТАЛНИ ПОЛЕЗНИ ИЗКОПАЕМИ - ИНДУСТРИАЛНИ МИНЕРАЛИ</t>
  </si>
  <si>
    <t>"Кремиковци" АД, гр.София</t>
  </si>
  <si>
    <t>неизпълнение от страна на концесионера на основно задължение по договора</t>
  </si>
  <si>
    <t>D - 00042</t>
  </si>
  <si>
    <t>"Делян", с.Делян, общ.Дупница, обл.Кюстендил</t>
  </si>
  <si>
    <t>ПРЕКРАТЕНИ КОНЦЕСИИ ЗА ДОБИВ НА ПОДЗЕМНИ БОГАТСТВА - МЕТАЛНИ ПОЛЕЗНИ ИЗКОПАЕМИ</t>
  </si>
  <si>
    <t>D - 00043</t>
  </si>
  <si>
    <t>железни руди и баритна суровина</t>
  </si>
  <si>
    <t>"Кремиковци", район Кремиковци, Столична община, обл.София</t>
  </si>
  <si>
    <t>Находище</t>
  </si>
  <si>
    <t>D - 00002</t>
  </si>
  <si>
    <t>D - 00001</t>
  </si>
  <si>
    <t>варовик</t>
  </si>
  <si>
    <t>Концесионер</t>
  </si>
  <si>
    <t xml:space="preserve">№ 594 от 29.06.2005 г. </t>
  </si>
  <si>
    <t>флуоритова суровина</t>
  </si>
  <si>
    <t>"Лукина падина", с.Железна, общ.Чипровци, обл.Монтана</t>
  </si>
  <si>
    <t xml:space="preserve">"Н и Н Трейдинг" ООД, гр.Карара, Република Италия </t>
  </si>
  <si>
    <t>18.07.2005 г.</t>
  </si>
  <si>
    <t>"Подгумер", с.Подгумер, район "Нови Искър", обл.София</t>
  </si>
  <si>
    <t>06.04.2006 г.</t>
  </si>
  <si>
    <t>08.12.1998 г.</t>
  </si>
  <si>
    <t>"Ватия Холдинг" АД, гр.София</t>
  </si>
  <si>
    <t>№ 127 от 08.03.2006 г.
№ 157 от 23.03.2010 г.</t>
  </si>
  <si>
    <t xml:space="preserve">№ 596 от 29.06.2005 г. </t>
  </si>
  <si>
    <t>"Свобода", с.Свобода, общ.Чирпан, обл.Стара Загора</t>
  </si>
  <si>
    <t>№ 854 от 08.12.2006 г.</t>
  </si>
  <si>
    <r>
      <t>ОСНОВНИ ИКОНОМИЧЕСКИ ПОКАЗАТЕЛИ ЗА СЕКТОР "ДОБИВНА ПРОМИШЛЕНОСТ" -  2012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</si>
  <si>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t>Статистически райони</t>
  </si>
  <si>
    <t>"Дъбравино", обл.Варна</t>
  </si>
  <si>
    <t>D - 00082</t>
  </si>
  <si>
    <t>D - 00083</t>
  </si>
  <si>
    <t>D - 00084</t>
  </si>
  <si>
    <t>№ 86 от 17.02.1999 г.</t>
  </si>
  <si>
    <t>каолинова суровина и кварцови пясъци в каолиновата суровина</t>
  </si>
  <si>
    <t>"Дойранци", обл.Шумен</t>
  </si>
  <si>
    <t>кварц-фелдшпатови пясъци</t>
  </si>
  <si>
    <t>№ 94 от 19.02.1999 г.</t>
  </si>
  <si>
    <t>"Средня", обл.Шумен</t>
  </si>
  <si>
    <t>№ 87 от 17.02.1999 г.</t>
  </si>
  <si>
    <t>"Вятово" - участъци IV, V и VII, обл.Русе</t>
  </si>
  <si>
    <t>D - 00115</t>
  </si>
  <si>
    <t>№ 299 от 29.05.2000 г.</t>
  </si>
  <si>
    <t>"Красава", обл.Перник</t>
  </si>
  <si>
    <t>03.07.2000 г.</t>
  </si>
  <si>
    <t>27.10.1998 г.</t>
  </si>
  <si>
    <t>нефтошисти</t>
  </si>
  <si>
    <t>"Нефтошисти" ЕООД</t>
  </si>
  <si>
    <t>D - 00116</t>
  </si>
  <si>
    <t>№ 300 от 29.05.2000 г.</t>
  </si>
  <si>
    <t>огнеупорни и керамични глини</t>
  </si>
  <si>
    <t xml:space="preserve">"Жабляно - участък южен", 
с. Жабляно, обл.Перник </t>
  </si>
  <si>
    <t>"Жабляно"ЕАД</t>
  </si>
  <si>
    <t>№ 646 от 05.10.1999 г.</t>
  </si>
  <si>
    <t>D - 00121</t>
  </si>
  <si>
    <t>D - 00122</t>
  </si>
  <si>
    <t>каменна сол</t>
  </si>
  <si>
    <t>"Мирово", общ.Провадия, обл.Варна</t>
  </si>
  <si>
    <t>28.08.2000 г.</t>
  </si>
  <si>
    <t>03.08.2000 г.</t>
  </si>
  <si>
    <t>"Геосол"АД</t>
  </si>
  <si>
    <t>№ 513 от 19.07.2000 г.</t>
  </si>
  <si>
    <t>D - 00126</t>
  </si>
  <si>
    <t>"Люляката" - у-к"Люляката" и у-к"Снежно поле югоизток", обл.Варна</t>
  </si>
  <si>
    <t>D - 00170</t>
  </si>
  <si>
    <t>кварцити</t>
  </si>
  <si>
    <t>"Струпец", обл.Сливен</t>
  </si>
  <si>
    <t>№ 675 от 18.10.2000 г.</t>
  </si>
  <si>
    <t>16.11.2000 г.</t>
  </si>
  <si>
    <t>"Динас" АД</t>
  </si>
  <si>
    <t>D - 00172</t>
  </si>
  <si>
    <t>D - 00173</t>
  </si>
  <si>
    <t>D - 00174</t>
  </si>
  <si>
    <t>D - 00175</t>
  </si>
  <si>
    <t>D - 00176</t>
  </si>
  <si>
    <t>D - 00190</t>
  </si>
  <si>
    <t>D - 00198</t>
  </si>
  <si>
    <t>D - 00200</t>
  </si>
  <si>
    <t>D - 00205</t>
  </si>
  <si>
    <t>D - 00218</t>
  </si>
  <si>
    <t>D - 00226</t>
  </si>
  <si>
    <t>D - 00227</t>
  </si>
  <si>
    <t>D - 00228</t>
  </si>
  <si>
    <t>D - 00232</t>
  </si>
  <si>
    <t>D - 00234</t>
  </si>
  <si>
    <t>D - 00239</t>
  </si>
  <si>
    <t>D - 00245</t>
  </si>
  <si>
    <t>D - 00247</t>
  </si>
  <si>
    <t>D - 00266</t>
  </si>
  <si>
    <t>D - 00277</t>
  </si>
  <si>
    <t>D - 00283</t>
  </si>
  <si>
    <t>D - 00295</t>
  </si>
  <si>
    <t>D - 00296</t>
  </si>
  <si>
    <t>D - 00336</t>
  </si>
  <si>
    <t>D - 00330</t>
  </si>
  <si>
    <t>D - 00341</t>
  </si>
  <si>
    <t>D - 00374</t>
  </si>
  <si>
    <t>D - 00383</t>
  </si>
  <si>
    <t>D - 00385</t>
  </si>
  <si>
    <t>D - 00386</t>
  </si>
  <si>
    <t>D - 00387</t>
  </si>
  <si>
    <t>83/2002</t>
  </si>
  <si>
    <t>16/2004</t>
  </si>
  <si>
    <t>96/2004</t>
  </si>
  <si>
    <t>16/2005</t>
  </si>
  <si>
    <t>4/2007</t>
  </si>
  <si>
    <t>61/2001; 31/2002; 104/2003</t>
  </si>
  <si>
    <t>102/2003</t>
  </si>
  <si>
    <t>33/2005</t>
  </si>
  <si>
    <t>90/2005</t>
  </si>
  <si>
    <t>20/2004</t>
  </si>
  <si>
    <t>41/2002</t>
  </si>
  <si>
    <t>44/2002</t>
  </si>
  <si>
    <t>61/2005</t>
  </si>
  <si>
    <r>
      <t xml:space="preserve">ДВ
</t>
    </r>
    <r>
      <rPr>
        <sz val="10"/>
        <rFont val="Times New Roman Cyr"/>
        <family val="1"/>
      </rPr>
      <t>брой/год.</t>
    </r>
  </si>
  <si>
    <t>„Пирински въглищен басейн, 
у-к „Ракитна", общ.Симитли, обл.Благоевград</t>
  </si>
  <si>
    <t>№ 642 от 30.08.2011 г.</t>
  </si>
  <si>
    <t>Концесионери: 14  Концесии: 15</t>
  </si>
  <si>
    <t>Концесионери: 5   Концесии: 6</t>
  </si>
  <si>
    <t>"Крушево", у-к "Пандимон", общ.Гърмен, обл.Благоевград</t>
  </si>
  <si>
    <t>"Илинденски мрамор" ООД, гр.София</t>
  </si>
  <si>
    <t>08.06.2007 г.</t>
  </si>
  <si>
    <t>№ 508 от 27.07.2007 г.</t>
  </si>
  <si>
    <t>"Ябланица", общ.Ябланица, обл.Ловеч.</t>
  </si>
  <si>
    <t>16.08.2007 г.</t>
  </si>
  <si>
    <t>"Върба - Батанци", общ.Мадан, обл.Смолян</t>
  </si>
  <si>
    <t>D - 00608</t>
  </si>
  <si>
    <t>№ 87 от 11.02.2011 г.</t>
  </si>
  <si>
    <t>№ 841 от 23.12.2008 г.
№ 760 от 19.10.2011 г.</t>
  </si>
  <si>
    <t>D - 00609</t>
  </si>
  <si>
    <t>"Асарел", у-к "Запад", общ. Панагюрище, обл.Пазарджик</t>
  </si>
  <si>
    <t>D - 00610</t>
  </si>
  <si>
    <t>"Хан Крум", у-ци "Ада тепе", "Къпел", "Къклица", "Скалак", "Зона Синап", "Сърнак" общ.Крумовград, обл.Кърджали</t>
  </si>
  <si>
    <t>№ 43 от 23.01.2009 г.
№ 69 от 15.02.2010 г.</t>
  </si>
  <si>
    <t>Канина" ЕООД, гр. Перник</t>
  </si>
  <si>
    <t>„Мини Открит въгледобив”АД</t>
  </si>
  <si>
    <t>Концесионери: 9  Концесии: 14</t>
  </si>
  <si>
    <t>44/2004</t>
  </si>
  <si>
    <t>10/2004</t>
  </si>
  <si>
    <t>53/2009</t>
  </si>
  <si>
    <t>09.10.2009 г.</t>
  </si>
  <si>
    <t>35/2010</t>
  </si>
  <si>
    <t>82/2008</t>
  </si>
  <si>
    <t>62/2001</t>
  </si>
  <si>
    <t>19/1999</t>
  </si>
  <si>
    <t>89/1999</t>
  </si>
  <si>
    <t>"Петрургия" ЕООД, гр. София</t>
  </si>
  <si>
    <t>94/2012</t>
  </si>
  <si>
    <t>12.03.2013 г.</t>
  </si>
  <si>
    <t>106/2003</t>
  </si>
  <si>
    <t>34/1999</t>
  </si>
  <si>
    <t>48/2009</t>
  </si>
  <si>
    <t>87/2006</t>
  </si>
  <si>
    <t>"Лозница-1", общ.Лесичово, обл.Пазарджик</t>
  </si>
  <si>
    <t>"Ахматово", обл.Пловдив</t>
  </si>
  <si>
    <t>пясъци и чакъли</t>
  </si>
  <si>
    <t>"Инджова върба", обл.Пловдив</t>
  </si>
  <si>
    <t>№ 147 от 23.03.2001 г.</t>
  </si>
  <si>
    <t>№ 882 от 22.12.2000 г.
изм. 13.11.2008 г.</t>
  </si>
  <si>
    <t>№ 883 от 22.12.2000 г.
изм. 13.11.2008 г.</t>
  </si>
  <si>
    <t>№ 884 от 11.12.2000 г.
изм. 13.11.2008 г.</t>
  </si>
  <si>
    <t>№ 910 от 28.12.2000 г.
изм. 14.11.2008 г.</t>
  </si>
  <si>
    <t>№ 885 от 22.12.2000 г.
изм. 14.11.2008 г.</t>
  </si>
  <si>
    <t>"Огняново-77", обл.Пазарджик</t>
  </si>
  <si>
    <t>25.04.2001 г.</t>
  </si>
  <si>
    <t>"Огняново-К" АД, гр.Пазарджик</t>
  </si>
  <si>
    <t>№ 166 от 28.03.2001 г.</t>
  </si>
  <si>
    <t>"Огняново", обл.Пазарджик</t>
  </si>
  <si>
    <t>№ 145 от 23.03.2001 г.</t>
  </si>
  <si>
    <t>"Рудината", обл. София</t>
  </si>
  <si>
    <t>27.04.2001 г.</t>
  </si>
  <si>
    <t>"Балканкерамик" АД, 
гр.Нови Искър, обл.София</t>
  </si>
  <si>
    <t>№ 164 от 28.03.2001 г.</t>
  </si>
  <si>
    <t>варовици, доломитизирани варовици и доломити</t>
  </si>
  <si>
    <t>"Годеч", обл.София</t>
  </si>
  <si>
    <t>02.05.2001 г.</t>
  </si>
  <si>
    <t>№163 от 28.03.2001 г.</t>
  </si>
  <si>
    <t>"Ръждавец", обл.София</t>
  </si>
  <si>
    <t>"Пътстрой-92" АД, гр.София</t>
  </si>
  <si>
    <t>"Ябълково", обл.Хасково</t>
  </si>
  <si>
    <t>№ 207 от 04.04.2001 г.</t>
  </si>
  <si>
    <t>трахиандезити</t>
  </si>
  <si>
    <t xml:space="preserve">"Артескос" АД, гр.Димитровград </t>
  </si>
  <si>
    <t>04.05.2001 г.</t>
  </si>
  <si>
    <t>02.12.1998 г.</t>
  </si>
  <si>
    <t>"Тополовград", обл.Хасково</t>
  </si>
  <si>
    <t>мрамори, мраморизирани варовици и доломити</t>
  </si>
  <si>
    <t>№ 146 от 23.03.2001 г.
№ 804 от 05.12.2007 г.</t>
  </si>
  <si>
    <t>"Пи Ес Ай" АД, 
гр.Стара Загора</t>
  </si>
  <si>
    <t>варовици и доломити</t>
  </si>
  <si>
    <t>"Змеево", обл.Стара Загора</t>
  </si>
  <si>
    <t>№ 165 от 28.03.2001 г.
№ 804 от 05.12.2007 г.</t>
  </si>
  <si>
    <t>"Долно Черковище", обл.Хасково</t>
  </si>
  <si>
    <t>№ 208 от 04.04.2001 г.</t>
  </si>
  <si>
    <t>№ 209 от 04.04.2001 г.</t>
  </si>
  <si>
    <t>латитоандезити</t>
  </si>
  <si>
    <t>"Чуките", обл.Хасково</t>
  </si>
  <si>
    <t>№ 244 от 10.04.2001 г.</t>
  </si>
  <si>
    <t>"Марциана", обл.Варна</t>
  </si>
  <si>
    <t>10.05.2001 г.</t>
  </si>
  <si>
    <t>"Ескана" АД, гр.Варна</t>
  </si>
  <si>
    <t>№ 246 от 10.04.2001 г.</t>
  </si>
  <si>
    <t>"Садово", обл.Варна</t>
  </si>
  <si>
    <t>№ 241 от 10.04.2001 г.</t>
  </si>
  <si>
    <t>"Старо Оряхово", обл.Варна</t>
  </si>
  <si>
    <t>№ 242 от 10.04.2001 г.</t>
  </si>
  <si>
    <t>"Варненско езеро", обл.Варна</t>
  </si>
  <si>
    <t>№ 245 от 10.04.2001 г.</t>
  </si>
  <si>
    <t>"Ветрино", обл.Варна</t>
  </si>
  <si>
    <t>"Сини вир", обл.Варна</t>
  </si>
  <si>
    <t>№ 243 от 10.04.2001 г.</t>
  </si>
  <si>
    <t>№ 429 от 11.06.2001 г.</t>
  </si>
  <si>
    <t>"Кривина", обл. София</t>
  </si>
  <si>
    <t>25.06.2001 г.</t>
  </si>
  <si>
    <t>"Транскомплект-инженеринг" ООД, гр.София</t>
  </si>
  <si>
    <t>"Пет могили-запад", кв.Враждебна, район "Кремиковци", обл.София</t>
  </si>
  <si>
    <t>26.06.2001 г.</t>
  </si>
  <si>
    <t>"Камъни и пясък" ООД, гр.София</t>
  </si>
  <si>
    <t>№ 393 от 01.06.2001 г.
№ 804 от 05.12.2007 г.
№ 726 от 10.09.2009 г.</t>
  </si>
  <si>
    <t>№ 333 от 14.05.2001 г.</t>
  </si>
  <si>
    <t xml:space="preserve"> "Хитрино", обл.Шумен</t>
  </si>
  <si>
    <t>27.06.2001 г.</t>
  </si>
  <si>
    <t>26.12.1996 г.</t>
  </si>
  <si>
    <t>"Автомагистрали - Черно море" АД, гр.Шумен</t>
  </si>
  <si>
    <t>пясъци и чакъл</t>
  </si>
  <si>
    <t xml:space="preserve">"Пътинженеринг" ЕООД, гр.Пловдив </t>
  </si>
  <si>
    <t>13.08.2007 г.</t>
  </si>
  <si>
    <t>№ 470 от 10.07.2007 г.</t>
  </si>
  <si>
    <t>20.08.2007 г.</t>
  </si>
  <si>
    <t>25.06.1999 г.</t>
  </si>
  <si>
    <t>"Люляка" ЕАД, гр.Девня.</t>
  </si>
  <si>
    <t>трахити</t>
  </si>
  <si>
    <t>"Баба Тодора", общ.Карнобат, обл.Бургас</t>
  </si>
  <si>
    <t>10.08.2007 г.</t>
  </si>
  <si>
    <t>"Базалт ресурс" ООД, гр.Ямбол</t>
  </si>
  <si>
    <t>№ 446 от 03.07.2007 г.
№ 266 от 23.04.2008 г.</t>
  </si>
  <si>
    <t>"Шилестия кайряк", общ.Карнобат, обл.Бургас</t>
  </si>
  <si>
    <t>"Средния рид", общ.Гоце Делчев, обл.Благоевград</t>
  </si>
  <si>
    <t>10.9.2007 г.</t>
  </si>
  <si>
    <t>2010</t>
  </si>
  <si>
    <t>2009</t>
  </si>
  <si>
    <t>"Велика", общ.Царево, обл.Бургас</t>
  </si>
  <si>
    <t>туфи</t>
  </si>
  <si>
    <t>ЕТ "Димитър Киров-45", гр.Бургас</t>
  </si>
  <si>
    <t>№ 600 от 09.07.2004 г.</t>
  </si>
  <si>
    <t>"Блатото", общ.Стралджа, обл.Ямбол</t>
  </si>
  <si>
    <t>03.09.2004 г.</t>
  </si>
  <si>
    <t>"Керамична къща Стралджа" ЕООД, гр.Стралджа</t>
  </si>
  <si>
    <t>№ 599 от 21.07.2004 г.</t>
  </si>
  <si>
    <t xml:space="preserve">"Конак Тарла", общ.Стралджа, обл.Ямбол </t>
  </si>
  <si>
    <t>"Пещерата", с.Обел, общ. Благоевград, обл.Благоевград</t>
  </si>
  <si>
    <t>14.10.2004 г.</t>
  </si>
  <si>
    <t>21.07.2000 г.</t>
  </si>
  <si>
    <t>"Пиринстройинженеринг" ЕАД, гр.Благоевград</t>
  </si>
  <si>
    <t>№ 712 от 02.09.2004 г.</t>
  </si>
  <si>
    <t>18.05.2000 г.</t>
  </si>
  <si>
    <t>11.03.1999 г.</t>
  </si>
  <si>
    <t>"Монолит" АД, гр.Монтана</t>
  </si>
  <si>
    <t>№ 209 от 19.04.2000 г.</t>
  </si>
  <si>
    <t>"Горна Кремена", общ.Мездра, обл.Враца</t>
  </si>
  <si>
    <t>"Монастирище" - участък "Централен", общ.Хайредин, обл.Враца</t>
  </si>
  <si>
    <t>"Царевец", общ.Мездра, обл.Враца</t>
  </si>
  <si>
    <t>"Искър", общ.Мездра, обл.Враца</t>
  </si>
  <si>
    <t>№ 210 от 19.04.2000 г.</t>
  </si>
  <si>
    <t>"Върбешница", общ.Мездра, област Враца</t>
  </si>
  <si>
    <t>№ 332 от 14.05.2001 г.</t>
  </si>
  <si>
    <t>"Дионисомарбле-България" ЕООД, гр.София</t>
  </si>
  <si>
    <t>03.07.2001 г.</t>
  </si>
  <si>
    <t>"Дионисо", с.Върбешница, общ.Мездра, обл.Враца</t>
  </si>
  <si>
    <t>риолити</t>
  </si>
  <si>
    <t>№ 278 от 08.04.2004 г.</t>
  </si>
  <si>
    <t>"Казаните-1", с.Дебръщица, обл.Пазарджик</t>
  </si>
  <si>
    <t>№ 279 от 08.04.2004 г.</t>
  </si>
  <si>
    <t>"Казаните-2", с.Дебръщица, обл.Пазарджик</t>
  </si>
  <si>
    <t>№ 405 от 17.05.2004 г.</t>
  </si>
  <si>
    <t>граносиенити</t>
  </si>
  <si>
    <t>"Божема", с.Сливово, обл.Бургас</t>
  </si>
  <si>
    <t>"Геотехмин-консулт и инженеринг" ООД, гр.София</t>
  </si>
  <si>
    <t>25.06.2004 г.</t>
  </si>
  <si>
    <t>"Мизия", с.Върбешница, общ.Мездра, обл.Враца</t>
  </si>
  <si>
    <t>16.08.2004 г.</t>
  </si>
  <si>
    <t>№ 566 от 07.07.2004 г.
№ 49 от 01.02.2008 г.</t>
  </si>
  <si>
    <t>"Булстоун" ЕООД, гр.Враца</t>
  </si>
  <si>
    <t>№ 644 от 05.08.2004 г.</t>
  </si>
  <si>
    <t>"Витина-2", с.Витина, общ.Рудозем, обл.Смолян</t>
  </si>
  <si>
    <t>"Стоунс Къмпани БГ" ООД, гр.Рудозем</t>
  </si>
  <si>
    <t>24.09.2004 г.</t>
  </si>
  <si>
    <t>гранодиорити</t>
  </si>
  <si>
    <t>"Спанчевци", общ.Вършец, обл.Монтана</t>
  </si>
  <si>
    <t>05.10.2004 г.</t>
  </si>
  <si>
    <t>№ 569 от 07.07.2004 г.</t>
  </si>
  <si>
    <t>№ 6 от 05.01.1999 г.</t>
  </si>
  <si>
    <t>07.09.1999 г.</t>
  </si>
  <si>
    <t>Югозападен район</t>
  </si>
  <si>
    <t>Благоевград</t>
  </si>
  <si>
    <t>Кюстендил</t>
  </si>
  <si>
    <t>Перник</t>
  </si>
  <si>
    <t>София (столица)</t>
  </si>
  <si>
    <t xml:space="preserve">неизпълнение от страна на концесионера на основно задължение по договора </t>
  </si>
  <si>
    <t>D - 00080</t>
  </si>
  <si>
    <t>"Хлябово", общ.Тополовград, обл.Хасково</t>
  </si>
  <si>
    <t>D - 00087</t>
  </si>
  <si>
    <t>25.01.2000 г.</t>
  </si>
  <si>
    <t>№ 812-3 от 29.03.2001 г.
№ 2767-3/47 от 2003 г.
№ 445 от 02.07.2014 г.</t>
  </si>
  <si>
    <t>№ 253 от Протокол № 22 от 03.11.2005 г. на Общ.съвет - Стралджа</t>
  </si>
  <si>
    <t>№ 123 от 30.10.2008 г. на Общ.съвет - Главиница</t>
  </si>
  <si>
    <t>№ 124 от 30.10.2008 г. на Общ.съвет - Главиница</t>
  </si>
  <si>
    <t>№ 172 от 08.06.2005 г.; 204 от 28.09.2005 г. на Общ.съвет - Лозница</t>
  </si>
  <si>
    <t>№ 214 от 18.05.2001 г.
№ 188 от 09.03.2012 г. на Общ.съвет - Средец</t>
  </si>
  <si>
    <t>№401 от 25.07.2007 г. на Общ.съвет - Белослав</t>
  </si>
  <si>
    <t>№ 1128 от 28.09.2007 г. на Общ.съвет - Ловеч</t>
  </si>
  <si>
    <t>№ 331 от 30.01.2006 г. по Протокол № 31 на Общ.съвет - Първомай</t>
  </si>
  <si>
    <t>№ 813 от 29.03.2006 г. на Общ.съвет - Асеновград
РМС 665 от 06.08.2012 г.</t>
  </si>
  <si>
    <t>№ 246 от 31.05.2006 г. на Общ.съвет - Попово</t>
  </si>
  <si>
    <t>№ 369 от 27.06.2006 г. на Общ.съвет - Опака</t>
  </si>
  <si>
    <t>№ 289 от 30.06.2005 г. на Общ. - Д.Митрополия</t>
  </si>
  <si>
    <t>№ 294 от 31.01.2007 г. на Общ.съвет - Ценово</t>
  </si>
  <si>
    <t>№327 от 31.01.2006 г., по Протокол № 37 на Общ.съвет - Балчик</t>
  </si>
  <si>
    <t>№ 257 от 15.07.2007 г. по Протокол № 25 на Общ.съвет - Първомай</t>
  </si>
  <si>
    <t>292 от 11.09.2007 г. по Протокол 48 на Общ.съвет - Алфатар</t>
  </si>
  <si>
    <t>№ 299 от 29.03.2006 г. по Протокол № 30 на Общ.съвет - Борово</t>
  </si>
  <si>
    <t>№ 18 от 26.08.2005 г. на Общ.съвет - Кубрат</t>
  </si>
  <si>
    <t>№ 8-62 от 03.07.2003 г. на Общ.съвет - Суворово</t>
  </si>
  <si>
    <t>№ 2 от 09.06.2000 г. на Общ.съвет - Тополовград</t>
  </si>
  <si>
    <t>№ 115 от 23.02.2009 г.</t>
  </si>
  <si>
    <t>№ 3 от 16.10.1997 г. на Общ.съвет - Търговище</t>
  </si>
  <si>
    <t>№ 446 от 02.07.2014 г.</t>
  </si>
  <si>
    <t>№ 347 от 23.05.2014 г.</t>
  </si>
  <si>
    <t>№ 51 от 03.02.2014 г.</t>
  </si>
  <si>
    <t>№ 197 от 04.04.2014 г.</t>
  </si>
  <si>
    <t>№ 664 от 01.11.2013 г.</t>
  </si>
  <si>
    <t>№ 768 от 06.12.2013 г.</t>
  </si>
  <si>
    <t>№ 625 от 20.12.2009 г.</t>
  </si>
  <si>
    <t>№ 378 от 14.05.2012 г.</t>
  </si>
  <si>
    <t>№ 914 от 08.11.2012 г.</t>
  </si>
  <si>
    <t>№ 290 от 18.05.2013 г.</t>
  </si>
  <si>
    <t>№ 161 от 07.03.2013 г.</t>
  </si>
  <si>
    <t>№ 73 от 04.02.2013 г.</t>
  </si>
  <si>
    <t>№ 428 от 30.05.2012 г.</t>
  </si>
  <si>
    <t>№ 72 от 04.02.2013 г.</t>
  </si>
  <si>
    <t xml:space="preserve"> 125 от 22.02.2013 г.</t>
  </si>
  <si>
    <t>№ 107 от 15.02.2013 г.</t>
  </si>
  <si>
    <t>№ 1034 от 18.12.2012 г.</t>
  </si>
  <si>
    <t>№ 958 от 16.11.2012 г.</t>
  </si>
  <si>
    <t>№ 671 от 07.08.2012 г.</t>
  </si>
  <si>
    <t>№ 816 от 11.10.2012 г.</t>
  </si>
  <si>
    <t>№ 545 от 26.06.2012 г.</t>
  </si>
  <si>
    <t>№ 817 от 11.10.2012 г.</t>
  </si>
  <si>
    <t>№ 1033 от 18.12.2012 г.</t>
  </si>
  <si>
    <t>№ 925 от 09.11.2012 г.</t>
  </si>
  <si>
    <t>№ 908 от 02.11.2012 г.</t>
  </si>
  <si>
    <t>№ 787 от 24.09.2012 г.</t>
  </si>
  <si>
    <t>№ 739 от 11.09.2012 г.</t>
  </si>
  <si>
    <t>№ 670 от 07.08.2012 г.</t>
  </si>
  <si>
    <t>№ 818 от 11.10.2012 г.</t>
  </si>
  <si>
    <t>№ 785 от 24.09.2012 г.</t>
  </si>
  <si>
    <t>№ 333 от 27.04.2012 г.</t>
  </si>
  <si>
    <t>№ '699 от 28.08.2012 г.</t>
  </si>
  <si>
    <t>№ 786 от 24.09.2012 г.</t>
  </si>
  <si>
    <t>№ 730 от 31.08.2012 г.</t>
  </si>
  <si>
    <t>№ 337 от 02.05.2012 г.</t>
  </si>
  <si>
    <t>№ 256 от 30.03.2012 г.</t>
  </si>
  <si>
    <t>№ 431 от 30.05.2012 г.</t>
  </si>
  <si>
    <t>№ 651 от 30.07.2012 г.</t>
  </si>
  <si>
    <t>№ 208 от 15.03.2012 г.</t>
  </si>
  <si>
    <t>№ 228 от 26.03.2012 г.</t>
  </si>
  <si>
    <t>№ 759 от 19.10.2011 г.</t>
  </si>
  <si>
    <t>№ 234 от 27.03.2012 г.</t>
  </si>
  <si>
    <t>№ 293 от 01.08.2011 г.</t>
  </si>
  <si>
    <t>№ 335 от 27.04.2012 г.</t>
  </si>
  <si>
    <t>№ 640 от 30.08.2011 г.</t>
  </si>
  <si>
    <t>№ 612 от 08.08.2011 г.</t>
  </si>
  <si>
    <t>№ 227 от 26.03.2012 г.</t>
  </si>
  <si>
    <t>№ 758 от 19.10.2011 г.</t>
  </si>
  <si>
    <t>№ 951 от 27.12.2011 г.</t>
  </si>
  <si>
    <t>№ 950 от 27.12.2011 г.</t>
  </si>
  <si>
    <t>№ 927 от 20.12.2011 г.</t>
  </si>
  <si>
    <t>№ 789 от 31.10.2011 г.</t>
  </si>
  <si>
    <t>№ 367 от 30.05.2011 г.</t>
  </si>
  <si>
    <t>№ 463 от 20.06.2011 г.</t>
  </si>
  <si>
    <t>№ 659 от 14.09.2010 г.</t>
  </si>
  <si>
    <t>№ 893 от 22.12.2010 г.</t>
  </si>
  <si>
    <t>№ 682 от 16.09.2010 г.</t>
  </si>
  <si>
    <t>№ 661 от 14.09.2010 г.</t>
  </si>
  <si>
    <t>№ 683 от 16.09.2010 г.</t>
  </si>
  <si>
    <t>№ 369 от 30.05.2011 г.</t>
  </si>
  <si>
    <t>№ 364 от 30.05.2011 г.</t>
  </si>
  <si>
    <t>№ 363 от 30.05.2011 г.</t>
  </si>
  <si>
    <t>№ '735 от 3.10.2011 г.</t>
  </si>
  <si>
    <t>№ 365 от 30.05.2011 г.</t>
  </si>
  <si>
    <t>№ 611 от 08.08.2011 г.</t>
  </si>
  <si>
    <t>"Екоагрострой" АД, с. Ерден, общ.Бойчиновци, обл.Монтана</t>
  </si>
  <si>
    <t>"ТБМ - 2000" ЕООД, гр.Монтана</t>
  </si>
  <si>
    <t>"Раян газ" ЕООД, гр.Септември</t>
  </si>
  <si>
    <t>"Пътна компания" АД, гр.Бургас</t>
  </si>
  <si>
    <t>"Интермонтажи" ЕООД, гр.София</t>
  </si>
  <si>
    <t>"Златна Панега Цимент" АД, с. Златна Панега</t>
  </si>
  <si>
    <t>"Латит" ООД, гр. Банкя</t>
  </si>
  <si>
    <t>Концесионери: 9   Концесии: 11</t>
  </si>
  <si>
    <t>"ФЦЦ Конструксион"АД, гр.Барселона, Испания</t>
  </si>
  <si>
    <t>Концесионери: 9   Концесии: 13</t>
  </si>
  <si>
    <t>"Трапище", с.Трапище, общ.Лозница, обл.Разград</t>
  </si>
  <si>
    <t>Концесионери: 2   Концесии: 4</t>
  </si>
  <si>
    <t>Концесионери: 16  Концесии: 22</t>
  </si>
  <si>
    <t>"Добромир - изток", общ.Руен, обл.Бургас</t>
  </si>
  <si>
    <t>Концесионери: 16   Концесии: 28</t>
  </si>
  <si>
    <t>Концесионери: 7   Концесии: 7</t>
  </si>
  <si>
    <t>Концесионери: 29  Концесии: 42</t>
  </si>
  <si>
    <t>Концесионери: 22   Концесии: 30</t>
  </si>
  <si>
    <t>Концесионери: 9   Концесии: 10</t>
  </si>
  <si>
    <t>Концесионери: 10   Концесии: 19</t>
  </si>
  <si>
    <t>Концесионери: 9   Концесии: 12</t>
  </si>
  <si>
    <t>"Градец“, у-ци „Южен“ и „Градище", с.Градец, общ.Костинброд, обл.София</t>
  </si>
  <si>
    <t>Концесионери: 14   Концесии: 16</t>
  </si>
  <si>
    <t>(подземни богатства по чл. 2, ал. 1, т. 3 от Закона за подземните богатства)</t>
  </si>
  <si>
    <t>КОНЦЕСИИ ЗА ДОБИВ НА ПОДЗЕМНИ БОГАТСТВА - СУРОВ НЕФТ И ПРИРОДЕН ГАЗ</t>
  </si>
  <si>
    <t>(подземни богатства по чл. 2, ал. 1, т. 4 от Закона за подземните богатства)</t>
  </si>
  <si>
    <t>КОНЦЕСИИ ЗА ДОБИВ НА ПОДЗЕМНИ БОГАТСТВА - ТВЪРДИ ГОРИВА</t>
  </si>
  <si>
    <t>D - 00315</t>
  </si>
  <si>
    <t>Мина „Станянци” АД</t>
  </si>
  <si>
    <t>Открит добив на лигнитни въглища</t>
  </si>
  <si>
    <t>Мина „Чукурово” АД</t>
  </si>
  <si>
    <t>13.06.2002 г.</t>
  </si>
  <si>
    <t>Мина „Бели брег” АД</t>
  </si>
  <si>
    <t>„Фундаментал” ЕООД</t>
  </si>
  <si>
    <t>Подземен добив на кафяви въглища</t>
  </si>
  <si>
    <t>„Карбон инвест” ООД</t>
  </si>
  <si>
    <t>Мина „Балкан 2000” АД</t>
  </si>
  <si>
    <t>16.04.2004 г.</t>
  </si>
  <si>
    <t>„Каусто голд” АД</t>
  </si>
  <si>
    <t>Открит добив на кафяви въглища</t>
  </si>
  <si>
    <t>16.10.2002 г.</t>
  </si>
  <si>
    <t>ВНОС НА ЕНЕРГИЙНИ РЕСУРСИ (CIF)</t>
  </si>
  <si>
    <t>Горива</t>
  </si>
  <si>
    <t>Суров петрол и природен газ</t>
  </si>
  <si>
    <t>Други горива</t>
  </si>
  <si>
    <t xml:space="preserve">Други </t>
  </si>
  <si>
    <t>Масла</t>
  </si>
  <si>
    <t>Електричество</t>
  </si>
  <si>
    <t>Основни търговски региони</t>
  </si>
  <si>
    <t>Европа</t>
  </si>
  <si>
    <t>Балкански държави</t>
  </si>
  <si>
    <t>Америка</t>
  </si>
  <si>
    <t>Азия</t>
  </si>
  <si>
    <t>Други държави</t>
  </si>
  <si>
    <t>ВНОС НА РУДИ И МЕТАЛИ (CIF)</t>
  </si>
  <si>
    <t>Руди</t>
  </si>
  <si>
    <t>Чугун, желязо и стомана</t>
  </si>
  <si>
    <t>Цветни метали</t>
  </si>
  <si>
    <t>ИЗНОС НА ЕНЕРГИЙНИ РЕСУРСИ (FOB)</t>
  </si>
  <si>
    <t>  Петролни продукти</t>
  </si>
  <si>
    <t>  Други</t>
  </si>
  <si>
    <t>ИЗНОС НА МЕТАЛИ И ЦИМЕНТ (FOB)</t>
  </si>
  <si>
    <t>Цимент</t>
  </si>
  <si>
    <t>Приложение 4</t>
  </si>
  <si>
    <t>ПРЕКИ ЧУДЕСТРАННИ ИНВЕСТИЦИИ - ОБЩО ЗА СТРАНАТА, ИНДУСТРИЯТА И СЕКТОР "ДОБИВНА ПРОМИШЛЕНОСТ"</t>
  </si>
  <si>
    <t>млн.EUR</t>
  </si>
  <si>
    <t>Дялов капитал и реинвестирана печалба</t>
  </si>
  <si>
    <t>Друг капитал</t>
  </si>
  <si>
    <t>Преработваща промишленост</t>
  </si>
  <si>
    <t xml:space="preserve">Производство и разпределение на  електроенергия, газ и вода </t>
  </si>
  <si>
    <t>Строителство</t>
  </si>
  <si>
    <t>Дялов капитал</t>
  </si>
  <si>
    <t>Реинвестирана печалба</t>
  </si>
  <si>
    <t>РАЗХОДИ ЗА ПРИДОБИВАНЕ НА ДМА - ОБЩО ЗА СТРАНАТА, ИНДУСТРИЯТА И СЕКТОР "ДОБИВНА ПРОМИШЛЕНОСТ"</t>
  </si>
  <si>
    <t>млн.лв.</t>
  </si>
  <si>
    <t>Oбщо за страната</t>
  </si>
  <si>
    <t>1. Данните от 2008 г. са по Класификация на икономическите дейности /КИД-2008/.</t>
  </si>
  <si>
    <t>РАЗХОДИ ЗА ОПАЗВАНЕ И ВЪЗСТАНОВЯВАНЕ НА ОКОЛНАТА СРЕДА - ОБЩО ЗА СТРАНАТА, ИНДУСТРИЯТА И СЕКТОР "ДОБИВНА ПРОМИШЛЕНОСТ"</t>
  </si>
  <si>
    <t>хил.лв.</t>
  </si>
  <si>
    <t>Общо за страната*</t>
  </si>
  <si>
    <t>Разходи за придобиване на дълготрайни материални и нематериални активи</t>
  </si>
  <si>
    <t>Разходи за поддържане на ДМА и за извършване на екологични мероприятия</t>
  </si>
  <si>
    <t>Производствени пречиствателни станции</t>
  </si>
  <si>
    <t>Специализирани съоръжения</t>
  </si>
  <si>
    <t>** 2008 - 2014 г. - Без ядрено гориво</t>
  </si>
  <si>
    <r>
      <t>ОСНОВНИ ИКОНОМИЧЕСКИ ПОКАЗАТЕЛИ ЗА СЕКТОР "ДОБИВНА ПРОМИШЛЕНОСТ" -  2013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</si>
  <si>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t>B-E</t>
  </si>
  <si>
    <t xml:space="preserve">№ 549 от 31.07.2003 г. </t>
  </si>
  <si>
    <t>"Долни Богров II", район "Кремиковци", обл.София</t>
  </si>
  <si>
    <t xml:space="preserve"> № 91 от 16.02.2004 г.</t>
  </si>
  <si>
    <t>"Самуилово-изток", общ.Сливен, обл.Сливен</t>
  </si>
  <si>
    <t>19.03.2004 г.</t>
  </si>
  <si>
    <t>"Благоустройствени строежи" ЕООД, гр.Сливен</t>
  </si>
  <si>
    <t>№ 181 от 17.03.2003 г.</t>
  </si>
  <si>
    <t>"Кошава", обл.Видин</t>
  </si>
  <si>
    <t>гипс</t>
  </si>
  <si>
    <t>26.04.2004 г.</t>
  </si>
  <si>
    <t>"Гипс" АД, с.Кошава, обл.Видин</t>
  </si>
  <si>
    <t>№ 275 от 08.04.2004 г.</t>
  </si>
  <si>
    <t>"Гоце Делчев, блок 1", общ. Гоце Делчев, обл.Благоевград</t>
  </si>
  <si>
    <t>"Бистрица" ООД, гр.Благоевград</t>
  </si>
  <si>
    <t>№ 277 от 08.04.2004 г.</t>
  </si>
  <si>
    <t>"Благоевград", с.Покровник, обл.Благоевград</t>
  </si>
  <si>
    <t>23.10.2008 г.</t>
  </si>
  <si>
    <t>№ 746 от 27.11.2008 г.</t>
  </si>
  <si>
    <t>"Изворово", с.Дрипчево, общ.Харманли, обл.Хасково</t>
  </si>
  <si>
    <t>25.03.2009 г.</t>
  </si>
  <si>
    <t>"Сакар-Гранит" ООД, гр.Ямбол</t>
  </si>
  <si>
    <t>Александровски гранити</t>
  </si>
  <si>
    <t>№ 93 от 18.02.2009 г.</t>
  </si>
  <si>
    <t xml:space="preserve">"Яна", с.Брестовене, общ.Завет, обл.Разград </t>
  </si>
  <si>
    <t>смектит-илитови алевролити</t>
  </si>
  <si>
    <t xml:space="preserve">"Геонет" ООД, гр.София </t>
  </si>
  <si>
    <t>10.6.2009 г.</t>
  </si>
  <si>
    <t>№ 419 от 30.05.2009 г.</t>
  </si>
  <si>
    <t>лептохлорит-хидрослюдени варовити алевролити</t>
  </si>
  <si>
    <t>"Кълново", с.Кълново, общ.Смядово, обл.Шумен</t>
  </si>
  <si>
    <t>№ 479 от 18.06.2009 г.</t>
  </si>
  <si>
    <t xml:space="preserve">вермикулитова суровина </t>
  </si>
  <si>
    <t>"Белица", с.Средищна, общ.Ихтиман, обл.София</t>
  </si>
  <si>
    <t>16.07.2010 г.</t>
  </si>
  <si>
    <t>№ 420 от 30.05.2009 г.</t>
  </si>
  <si>
    <t>"Лукина падина" - участък "Птичи дол - Велин дол", общ.Чипровци, обл.Монтана</t>
  </si>
  <si>
    <t>№ 478 от 18.06.2009 г.</t>
  </si>
  <si>
    <t>"Анел тепе", с.Бели пласт, общ.Кърджали, обл.Кърджали</t>
  </si>
  <si>
    <t xml:space="preserve">"Зеорекс - интернационал" ЕООД, гр.София </t>
  </si>
  <si>
    <t>№ 271 от 30.04.2010 г.</t>
  </si>
  <si>
    <t>06.10.2010 г.</t>
  </si>
  <si>
    <t>18.06.1999 г.</t>
  </si>
  <si>
    <t>D - 00110</t>
  </si>
  <si>
    <t>D - 00111</t>
  </si>
  <si>
    <t>D - 00112</t>
  </si>
  <si>
    <t>D - 00168</t>
  </si>
  <si>
    <t>D - 00241</t>
  </si>
  <si>
    <t>D - 00242</t>
  </si>
  <si>
    <t>D - 00248</t>
  </si>
  <si>
    <t>D - 00256</t>
  </si>
  <si>
    <t>D - 00260</t>
  </si>
  <si>
    <t>D - 00262</t>
  </si>
  <si>
    <t>D - 00364</t>
  </si>
  <si>
    <t>D - 00294</t>
  </si>
  <si>
    <t>D - 00368</t>
  </si>
  <si>
    <t>D - 00397</t>
  </si>
  <si>
    <t>D - 00405</t>
  </si>
  <si>
    <t>D - 00413</t>
  </si>
  <si>
    <t>D - 00421</t>
  </si>
  <si>
    <t>D - 00422</t>
  </si>
  <si>
    <t>D - 00424</t>
  </si>
  <si>
    <t>D - 00425</t>
  </si>
  <si>
    <t>D - 00428</t>
  </si>
  <si>
    <t>D - 00429</t>
  </si>
  <si>
    <t>D - 00437</t>
  </si>
  <si>
    <t>D - 00446</t>
  </si>
  <si>
    <t>D - 00458</t>
  </si>
  <si>
    <t>D - 00487</t>
  </si>
  <si>
    <t>D - 00488</t>
  </si>
  <si>
    <t>D - 00517</t>
  </si>
  <si>
    <t>пясък и чакъл</t>
  </si>
  <si>
    <t>"Ели дере", с.Ветрен дол, общ. Септември, обл.Пазарджик</t>
  </si>
  <si>
    <t>01.06.2000 г.</t>
  </si>
  <si>
    <t>"Хидрострой - Сестримо" ЕООД, гр.Пловдив</t>
  </si>
  <si>
    <t>№ 776 от 28.09.2004 г.</t>
  </si>
  <si>
    <t>№ 770 от 28.09.2004 г.
№ 315 от 08.05.2010 г.</t>
  </si>
  <si>
    <t>доломити и доломитни варовици</t>
  </si>
  <si>
    <t>"Студена - участък II", общ.Перник, обл.Перник</t>
  </si>
  <si>
    <t>№ 811 от 12.10.2004 г.</t>
  </si>
  <si>
    <t xml:space="preserve">"Черепиш" - у-к "Дълбоки дол", с.Лютиброд, общ.Мездра, обл.Враца </t>
  </si>
  <si>
    <t>01.01.1995 г.</t>
  </si>
  <si>
    <t>19.11.2004 г.</t>
  </si>
  <si>
    <t>"Вархим" ЕООД, гр.Мездра</t>
  </si>
  <si>
    <t>№ 833 от 20.10.2004 г.</t>
  </si>
  <si>
    <t>"Драгоево", общ.Велики Преслав, обл.Шумен</t>
  </si>
  <si>
    <t>13.03.2000 г.</t>
  </si>
  <si>
    <t>"Кариера Драгоево" АД , с.Драгоево, обл.Шумен</t>
  </si>
  <si>
    <t>№ 889 от 10.11.2004 г.</t>
  </si>
  <si>
    <t>08.12.2004 г.</t>
  </si>
  <si>
    <t>08.03.2000 г.</t>
  </si>
  <si>
    <t>"Скравена", с.Скравена, общ.Ботевград, обл.София</t>
  </si>
  <si>
    <t>"Автомагистрали Хемус" АД, гр.София</t>
  </si>
  <si>
    <t>№ 728 от 09.09.2004 г.</t>
  </si>
  <si>
    <t>"Студена-1", с.Студена, общ.Перник, обл.Перник</t>
  </si>
  <si>
    <t>"СК-13-Пътстрой" АД, гр.Перник</t>
  </si>
  <si>
    <t>№ 888 от 10.11.2004 г.</t>
  </si>
  <si>
    <t>"Смолско", с.Смолско, общ.Мирково, обл.София</t>
  </si>
  <si>
    <t>доломитизирани варовици и доломити</t>
  </si>
  <si>
    <t>№ 887 от 10.11.2004 г.</t>
  </si>
  <si>
    <t>"Студена - участък III", общ.Перник, обл.Перник</t>
  </si>
  <si>
    <t xml:space="preserve">№ 981 от 13.12.2004 г. </t>
  </si>
  <si>
    <t>българити</t>
  </si>
  <si>
    <t>"Българово", у-к "Българово-север", гр.Българово, общ.Бургас, обл.Бургас</t>
  </si>
  <si>
    <t>12.01.2005 г.</t>
  </si>
  <si>
    <t>"Андезит"АД, гр.Бургас</t>
  </si>
  <si>
    <t>№ 962 от 10.12.2004 г.</t>
  </si>
  <si>
    <t>"Ветрище", с.Ветрище, общ.Шумен, обл.Шумен</t>
  </si>
  <si>
    <t>мегели</t>
  </si>
  <si>
    <t>14.01.2005 г.</t>
  </si>
  <si>
    <t>06.07.1999 г.</t>
  </si>
  <si>
    <t>"Керамат" АД, гр.Каспичан</t>
  </si>
  <si>
    <t>№ 982 от 13.12.2004 г.</t>
  </si>
  <si>
    <t>"Горно Павликени 88", общ.Ловеч, обл.Ловеч</t>
  </si>
  <si>
    <t>27.01.2005 г.</t>
  </si>
  <si>
    <t>"Пътстрой" АД, гр.Ловеч</t>
  </si>
  <si>
    <t>№ 1018 от 22.12.2004 г.</t>
  </si>
  <si>
    <t xml:space="preserve"> "Гюдюрска" - у-к "Южна Петровица", обл.Смолян</t>
  </si>
  <si>
    <t>"Андроу-Шумачевски дол", обл.Смолян</t>
  </si>
  <si>
    <t>№ 136 от 01.13.2004 г.</t>
  </si>
  <si>
    <t>D - 00418</t>
  </si>
  <si>
    <t>29.7.2004 г.</t>
  </si>
  <si>
    <t>“Твърдица” - част от Балканския въглищен басейн, общ.Твърдица, обл.Сливен</t>
  </si>
  <si>
    <t>D - 00459</t>
  </si>
  <si>
    <t>„Ораново”, общ.Симитли, обл.Благоевград</t>
  </si>
  <si>
    <t>№ 217 от 17.04.2002 г. 
№ 601 от 21.07.2004 г.</t>
  </si>
  <si>
    <t>19.05.2005 г.</t>
  </si>
  <si>
    <t>D - 00460</t>
  </si>
  <si>
    <t xml:space="preserve">„Катрище”, общ.Кюстендил, обл.Кюстендил </t>
  </si>
  <si>
    <t>№ 552 от 21.08.2002 г.</t>
  </si>
  <si>
    <t>28.3.2002 г.</t>
  </si>
  <si>
    <t>D - 00465</t>
  </si>
  <si>
    <t>№ 655 от 13.07.2005 г.</t>
  </si>
  <si>
    <t>11.11.2005 г.</t>
  </si>
  <si>
    <t>01.1.2000 г.</t>
  </si>
  <si>
    <t>№ 423 от 11.06.2001 г.
№ 384/05.06.2007 г.</t>
  </si>
  <si>
    <t>"Ораново" ЕООД, гр. Перник</t>
  </si>
  <si>
    <t>№543 от 13.08.2007г.</t>
  </si>
  <si>
    <t>"Братя Кунчеви", общ.Стара Загора, обл.Стара Загора</t>
  </si>
  <si>
    <t>22.11.1999 г.</t>
  </si>
  <si>
    <t>№ 115 от 18.02.2005 г.</t>
  </si>
  <si>
    <t>"Полето", общ.Благоевград, обл.Благоевград</t>
  </si>
  <si>
    <t>01.04.2005 г.</t>
  </si>
  <si>
    <t>"Агромах" ЕООД, гр.Благоевград</t>
  </si>
  <si>
    <t>№ 703 от 09.08.2005 г.</t>
  </si>
  <si>
    <t>"Винарово", общ.Чирпан, обл.Стара Загора</t>
  </si>
  <si>
    <t>16.09.2005 г.</t>
  </si>
  <si>
    <t>"Инермат" АД, 
гр.Стара Загора</t>
  </si>
  <si>
    <t>№ 833 от 26.10.2005 г.</t>
  </si>
  <si>
    <t>"Селановци", общ.Оряхово, обл.Враца</t>
  </si>
  <si>
    <t>"Долни Луковит", общ.Долни Дъбник, обл.Плевен</t>
  </si>
  <si>
    <t>№ по ред</t>
  </si>
  <si>
    <t>D - 00382</t>
  </si>
  <si>
    <t>№ 495 от 08.06.2004  г.</t>
  </si>
  <si>
    <t>№ 661 от 22.10.1999 г.</t>
  </si>
  <si>
    <t>D - 00384</t>
  </si>
  <si>
    <t>"Джурково", обл. Пловдив,</t>
  </si>
  <si>
    <t>№ 428 от 11.06.2001 г.</t>
  </si>
  <si>
    <t>№ 426 от 11.06.2001 г.</t>
  </si>
  <si>
    <t>Вид на полезното богатство</t>
  </si>
  <si>
    <t xml:space="preserve">бентонитови глини и калий, съдържащи мергели </t>
  </si>
  <si>
    <t>кварц-фелдшпатови суровини; олигомикти; бентонитови глини; варовици; доломитни мрамори; талкошисти; кварц за кварцово стъкло; Александровски гранити и др.</t>
  </si>
  <si>
    <t>Концесионери: 1   Концесии: 6</t>
  </si>
  <si>
    <t xml:space="preserve">природен газ; суров нефт </t>
  </si>
  <si>
    <t>подземен добив на кафяви въглища</t>
  </si>
  <si>
    <t>открит добив на лигнитни въглища</t>
  </si>
  <si>
    <t>открит и подземен добив на кафяви въглища</t>
  </si>
  <si>
    <t>открит и подземен добив на кафяви въглища; подземен добив на черни въглища</t>
  </si>
  <si>
    <t>Софийска област</t>
  </si>
  <si>
    <t>„Елшица” АД
„Руен холдинг” АД **</t>
  </si>
  <si>
    <r>
      <t xml:space="preserve">* </t>
    </r>
    <r>
      <rPr>
        <sz val="10"/>
        <rFont val="Times New Roman"/>
        <family val="1"/>
      </rPr>
      <t xml:space="preserve">   Концесионният договор е прекратен с Решение на МС.</t>
    </r>
  </si>
  <si>
    <t>2011</t>
  </si>
  <si>
    <t>2012</t>
  </si>
  <si>
    <t>2013</t>
  </si>
  <si>
    <t>2014</t>
  </si>
  <si>
    <t>Южен
централен</t>
  </si>
  <si>
    <r>
      <t>ОСНОВНИ ИКОНОМИЧЕСКИ ПОКАЗАТЕЛИ ЗА СЕКТОР "ДОБИВНА ПРОМИШЛЕНОСТ" -  2010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</si>
  <si>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t>Групи според броя на заетите лица</t>
  </si>
  <si>
    <t>Индекси на оборота на вътрешния пазар в промишлеността - общо</t>
  </si>
  <si>
    <t xml:space="preserve">Индекси на оборота на международния пазар в промишлеността - общо </t>
  </si>
  <si>
    <t>Общ индекс на цени на производител - общо</t>
  </si>
  <si>
    <t>Добив на нефт и природен газ</t>
  </si>
  <si>
    <t>Индекси на цени на производител на вътрешния пазар - общо</t>
  </si>
  <si>
    <t>Електрическа енергия</t>
  </si>
  <si>
    <t>Приложение 2</t>
  </si>
  <si>
    <t>ОСНОВНИ ИКОНОМИЧЕСКИ ПОКАЗАТЕЛИ ЗА СЕКТОР  "ДОБИВНА ПРОМИШЛЕНОСТ"</t>
  </si>
  <si>
    <t xml:space="preserve"> Код на Евростат</t>
  </si>
  <si>
    <t xml:space="preserve">Брой предприятия - бр. </t>
  </si>
  <si>
    <t>Оборот - хил.лв.</t>
  </si>
  <si>
    <t>Произведена продукция - хил.лв.</t>
  </si>
  <si>
    <t>Добавена стойност по факторни разходи - хил.лв.</t>
  </si>
  <si>
    <t>Покупки на стоки и услуги - хил.лв.</t>
  </si>
  <si>
    <t>Разходи за персонала - хил.лв.</t>
  </si>
  <si>
    <t>Разходи за възнаграждения - хил.лв.</t>
  </si>
  <si>
    <t xml:space="preserve">Заети лица - бр. </t>
  </si>
  <si>
    <t>Среден списъчен брой на наетите лица по трудово и служебно правоотношение - бр.</t>
  </si>
  <si>
    <t>Обществен сектор - бр.</t>
  </si>
  <si>
    <t>Частен сектор - бр.</t>
  </si>
  <si>
    <t>Средна годишна заплата на наетите лица по трудово и служебно правоотношение - лева</t>
  </si>
  <si>
    <t>Обществен сектор - лева</t>
  </si>
  <si>
    <t>Частен сектор - лева</t>
  </si>
  <si>
    <t>Разходи на работодателя за труд на едно наето лице по трудово и служебно правоотношение - лева</t>
  </si>
  <si>
    <t>Разходи на работодателя за труд на на един отработен час от наетите лица по трудово и служебно правоотношение - лева</t>
  </si>
  <si>
    <t>Разходи на работодателя за труд на наетите лице по трудово и служебно правоотношение - хил.лева</t>
  </si>
  <si>
    <t>Обществен сектор - хил.лева</t>
  </si>
  <si>
    <t>Частен сектор - хил.лева</t>
  </si>
  <si>
    <t>Структура на разходите на работодателите за наетите лица по трудово и служебно правоотношение - общо, %</t>
  </si>
  <si>
    <t>Разходи за работна заплата - %</t>
  </si>
  <si>
    <t>Обезщетения - %</t>
  </si>
  <si>
    <t>смектит-илитови алевролити;
кварц-каолинитови среднопластични глини</t>
  </si>
  <si>
    <t>креда; огнеупорна пръст; огнеупорни и каменинови глини; кварц-фелдшпатови пясъци</t>
  </si>
  <si>
    <t>Концесионери: 6  Концесии: 14</t>
  </si>
  <si>
    <t>Волф и Мюлер Минералс България ООД, гр.София</t>
  </si>
  <si>
    <t>32/2004</t>
  </si>
  <si>
    <t>51/2004</t>
  </si>
  <si>
    <t>80/2004</t>
  </si>
  <si>
    <t>19/2005</t>
  </si>
  <si>
    <t>23/2005</t>
  </si>
  <si>
    <t>48/2007</t>
  </si>
  <si>
    <t>"Рид" ЕООД, гр. Гоце Делчев</t>
  </si>
  <si>
    <t>65/2007</t>
  </si>
  <si>
    <t>47/2008</t>
  </si>
  <si>
    <t>59/2008</t>
  </si>
  <si>
    <t>"Бистрица" ООД, гр. България</t>
  </si>
  <si>
    <t>94/2010</t>
  </si>
  <si>
    <t>16.05.2011 г.</t>
  </si>
  <si>
    <t>"Хидрострой-Юг-97" АД, гр. Сандански</t>
  </si>
  <si>
    <t>61/2011</t>
  </si>
  <si>
    <t>12.07.2012 г.</t>
  </si>
  <si>
    <t>68/2012</t>
  </si>
  <si>
    <t>15.11.2012 г.</t>
  </si>
  <si>
    <t>"Маргемин" ЕООД, гр. София</t>
  </si>
  <si>
    <t>89/2012</t>
  </si>
  <si>
    <t>22.01.2013 г.</t>
  </si>
  <si>
    <t>91/2001</t>
  </si>
  <si>
    <t>110/2004</t>
  </si>
  <si>
    <t>115/2004</t>
  </si>
  <si>
    <t>98/2005</t>
  </si>
  <si>
    <t>52/2001</t>
  </si>
  <si>
    <t>62/2004</t>
  </si>
  <si>
    <t>89/2004</t>
  </si>
  <si>
    <t>15/2005</t>
  </si>
  <si>
    <t>47/2005</t>
  </si>
  <si>
    <t>98/2006</t>
  </si>
  <si>
    <t>26/2007</t>
  </si>
  <si>
    <t>37/2007</t>
  </si>
  <si>
    <t>59/2007</t>
  </si>
  <si>
    <t>57/2007</t>
  </si>
  <si>
    <t>46/2008</t>
  </si>
  <si>
    <t>101/2008</t>
  </si>
  <si>
    <t>"Берил" ООД, гр. Бургас</t>
  </si>
  <si>
    <t>"Трансстрой холдинг" АД, гр. Бургас</t>
  </si>
  <si>
    <t>75/2010</t>
  </si>
  <si>
    <t>81/2009</t>
  </si>
  <si>
    <t>16.08.2011 г.</t>
  </si>
  <si>
    <t>"Минерал процесинг" ООД, гр. Бургас</t>
  </si>
  <si>
    <t>24/2012</t>
  </si>
  <si>
    <t>27.07.2012 г.</t>
  </si>
  <si>
    <t>"Билдинг-Зах" ЕООД, гр. Айтос</t>
  </si>
  <si>
    <t>71/2012</t>
  </si>
  <si>
    <t>11.01.2012 г.</t>
  </si>
  <si>
    <t>"Пътстрой Бургас" ЕООД, гр. Бургас</t>
  </si>
  <si>
    <t>19/2013 г.</t>
  </si>
  <si>
    <t>"Базалт" ЕООД, гр. Хасково</t>
  </si>
  <si>
    <t>22/2013 г.</t>
  </si>
  <si>
    <t>12.04.2013 г.</t>
  </si>
  <si>
    <t>90/2012</t>
  </si>
  <si>
    <t>07.05.2013 г.</t>
  </si>
  <si>
    <t xml:space="preserve"> "Големия кайряк", с.Могила, общ."Тунджа", обл.Ямбол</t>
  </si>
  <si>
    <t>"Геопроучване АВ" ООД, гр.Ямбол</t>
  </si>
  <si>
    <t>"Горупсо - Лъки" АД</t>
  </si>
  <si>
    <t>D - 00544</t>
  </si>
  <si>
    <t xml:space="preserve">№ 552 от 30.06.2004 г. </t>
  </si>
  <si>
    <t>"Бутан - юг", общ.Козлодуй, обл.Враца</t>
  </si>
  <si>
    <t>29.06.2004 г.</t>
  </si>
  <si>
    <t>№ 544 от 30.07.2003 г.</t>
  </si>
  <si>
    <t xml:space="preserve">№ 180 от 17.03.2004 г. </t>
  </si>
  <si>
    <t>"Маринов геран", общ.Кнежа, обл.Плевен</t>
  </si>
  <si>
    <t>30.04.2004 г.</t>
  </si>
  <si>
    <t xml:space="preserve">№ 543 от 30.07.2003 г. </t>
  </si>
  <si>
    <t>"Долни Луковит - запад", общ. Долни Дъбник, обл.Плевен</t>
  </si>
  <si>
    <t xml:space="preserve">№ 538 от 30.07.2003 г. </t>
  </si>
  <si>
    <t>№ 542 от 30.07.2003 г.</t>
  </si>
  <si>
    <t>"Горни Дъбник", общ.Долни Дъбник, обл.Плевен</t>
  </si>
  <si>
    <t xml:space="preserve">№ 541 от 30.07.2003 г. </t>
  </si>
  <si>
    <t>Забележки:</t>
  </si>
  <si>
    <t>Въглища</t>
  </si>
  <si>
    <t>„Гоцеделчевски въглищен басейн” – у-к „Канина”, общ.Гърмен, обл.Благоевград</t>
  </si>
  <si>
    <t xml:space="preserve">"Грънчарица Център", общ.Велинград, обл.Пазарджик </t>
  </si>
  <si>
    <t>"Зидарово" - у-к "Юрта", обл.Бургас</t>
  </si>
  <si>
    <t>16.07.2009 г.</t>
  </si>
  <si>
    <t>"Ресурс - 1" - АД, Пловдив</t>
  </si>
  <si>
    <t>(подземни богатства по чл. 2, ал. 1, т. 1 от Закона за подземните богатства)</t>
  </si>
  <si>
    <t>(подземни богатства по чл. 2, ал. 1, т. 2 от Закона за подземните богатства)</t>
  </si>
  <si>
    <t>(подземни богатства по чл. 2, ал. 1, т. 5 от Закона за подземните богатства)</t>
  </si>
  <si>
    <t>КОНЦЕСИИ ЗА ДОБИВ НА ПОДЗЕМНИ БОГАТСТВА - СКАЛООБЛИЦОВЪЧНИ МАТЕРИАЛИ</t>
  </si>
  <si>
    <t>(подземни богатства по чл. 2, ал. 1, т. 6 от Закона за подземните богатства)</t>
  </si>
  <si>
    <t>"Енчец", обл.Кърджали</t>
  </si>
  <si>
    <t>№ 172 от 06.04.1999 г.</t>
  </si>
  <si>
    <t>12.05.1999 г.</t>
  </si>
  <si>
    <t>13.08.1998 г.</t>
  </si>
  <si>
    <t>КОНЦЕСИИ ЗА ДОБИВ НА ПОДЗЕМНИ БОГАТСТВА - НЕМЕТАЛНИ ПОЛЕЗНИ ИЗКОПАЕМИ - ИНДУСТРИАЛНИ МИНЕРАЛИ</t>
  </si>
  <si>
    <t xml:space="preserve">"Ес енд Би Индастриъл Минералс" АД </t>
  </si>
  <si>
    <t>№ 173 от 06.04.1999 г.</t>
  </si>
  <si>
    <t>"Бели пласт", обл.Кърджали</t>
  </si>
  <si>
    <t>№ 174 от 06.04.1999 г.</t>
  </si>
  <si>
    <t>"Пропаст-Доброволец", обл.Кърджали,</t>
  </si>
  <si>
    <t>№ 175 от 06.04.1999 г.</t>
  </si>
  <si>
    <t>"Счупена планина", общ.Джебел, обл.Кърджали</t>
  </si>
  <si>
    <t xml:space="preserve"> № 95 от 19.02.1999 г.</t>
  </si>
  <si>
    <t>кварцови пясъци</t>
  </si>
  <si>
    <t>D - 00081</t>
  </si>
  <si>
    <t>12.5.1999 г.</t>
  </si>
  <si>
    <t>ДОБИВНА ПРОМИШЛЕНОСТ</t>
  </si>
  <si>
    <t>B</t>
  </si>
  <si>
    <t>2008</t>
  </si>
  <si>
    <t>2007</t>
  </si>
  <si>
    <t>2006</t>
  </si>
  <si>
    <t>05</t>
  </si>
  <si>
    <t>06</t>
  </si>
  <si>
    <t>07</t>
  </si>
  <si>
    <t>08</t>
  </si>
  <si>
    <t>Спомагателни дейности в добива</t>
  </si>
  <si>
    <t>09</t>
  </si>
  <si>
    <t>ТРУДОВИ ЗЛОПОЛУКИ - ОБЩО ЗА СТРАНАТА И СЕКТОР "ДОБИВНА ПРОМИШЛЕНОСТ"</t>
  </si>
  <si>
    <t>Приложение 10</t>
  </si>
  <si>
    <t>Партида
НКР №</t>
  </si>
  <si>
    <t>Концесионери: 5   Концесии: 8</t>
  </si>
  <si>
    <t>Концесионери: 4   Концесии: 7</t>
  </si>
  <si>
    <t>Концесионери: 5  Концесии: 6</t>
  </si>
  <si>
    <t>"Маказа" ЕООД, с. Подкова, общ.Кирково, обл.Кърджали</t>
  </si>
  <si>
    <t xml:space="preserve">"Пътстрой - 97" АД, гр.Хасково </t>
  </si>
  <si>
    <t>варовици; пясъчници</t>
  </si>
  <si>
    <t>риолити; мраморен брекчоконгломерат</t>
  </si>
  <si>
    <t>"Мрамор Риолит Б" АД, гр.Брацигово</t>
  </si>
  <si>
    <t>гнайси; 
гнайсошисти</t>
  </si>
  <si>
    <t>"Горубсо - Мадан" АД</t>
  </si>
  <si>
    <t>"Рудметал" АД</t>
  </si>
  <si>
    <t>"Горубсо - Кърджали" АД</t>
  </si>
  <si>
    <t>D - 00504</t>
  </si>
  <si>
    <t>D - 00505</t>
  </si>
  <si>
    <t>D - 00506</t>
  </si>
  <si>
    <t>D - 00507</t>
  </si>
  <si>
    <t>D - 00514</t>
  </si>
  <si>
    <t>D - 00516</t>
  </si>
  <si>
    <t>D - 00520</t>
  </si>
  <si>
    <t>D - 00521</t>
  </si>
  <si>
    <t>D - 00527</t>
  </si>
  <si>
    <t>D - 00528</t>
  </si>
  <si>
    <t>D - 00530</t>
  </si>
  <si>
    <t>D - 00532</t>
  </si>
  <si>
    <t>D - 00533</t>
  </si>
  <si>
    <t>D - 00534</t>
  </si>
  <si>
    <t>D - 00547</t>
  </si>
  <si>
    <t xml:space="preserve">№ 288 от 09.05.2008 г. </t>
  </si>
  <si>
    <t>Дебелт", общ.Средец, обл.Бургас</t>
  </si>
  <si>
    <t>"Строителни материали" АД, гр.Бургас</t>
  </si>
  <si>
    <t>28.05.2008 г.</t>
  </si>
  <si>
    <t>07.03.2000 г.</t>
  </si>
  <si>
    <t>№ 299 от 12.05.2008 г.</t>
  </si>
  <si>
    <t>"Лучище", общ.Благоевград, обл.Благоевград</t>
  </si>
  <si>
    <t>30.05.2008 г.</t>
  </si>
  <si>
    <t>№ 175 от 27.03.2008 г.</t>
  </si>
  <si>
    <t>"Студена", у-к "Заводски строежи", общ.Перник, обл.Перник</t>
  </si>
  <si>
    <t>"Заводски строежи" АД, гр.Перник</t>
  </si>
  <si>
    <t>30.04.2008 г.</t>
  </si>
  <si>
    <t>№ 174 от 27.03.2008 г.</t>
  </si>
  <si>
    <t>"Джерманче", общ.Дупница, обл.Кюстендил</t>
  </si>
  <si>
    <t xml:space="preserve">"Евро Елит" ООД, гр.Дупница </t>
  </si>
  <si>
    <t>№ 183 от 28.03.2008 г.</t>
  </si>
  <si>
    <t>"Здравец", общ.Аврен, обл.Варна</t>
  </si>
  <si>
    <t>пясък</t>
  </si>
  <si>
    <t xml:space="preserve">"Фининвестмънт" ЕООД, гр.Варна </t>
  </si>
  <si>
    <t xml:space="preserve">№ 316 от 17.05.2008 г. </t>
  </si>
  <si>
    <t>"Люляците", Столична община и общ.Костинброд, обл.София</t>
  </si>
  <si>
    <t>"МДЗ - Балша" АД, гр.София</t>
  </si>
  <si>
    <t>27.06.2008 г.</t>
  </si>
  <si>
    <t>03.11.2000 г.</t>
  </si>
  <si>
    <t>№ 354 от 02.06.2008 г.</t>
  </si>
  <si>
    <t>"Лома", общ.Брусарци, обл.Монтана</t>
  </si>
  <si>
    <t>10.07.2008 г.</t>
  </si>
  <si>
    <t xml:space="preserve">№ 376 от 13.06.2008 г. </t>
  </si>
  <si>
    <t>"Тери", общ.Белоградчик, обл.Видин</t>
  </si>
  <si>
    <t xml:space="preserve">"Минерал 2000" ЕООД, гр.София </t>
  </si>
  <si>
    <t>№ 406 от 24.06.2008 г.</t>
  </si>
  <si>
    <t>"Садинките", с.Владо Тричков, общ.Своге, обл.София</t>
  </si>
  <si>
    <t>глинести шисти</t>
  </si>
  <si>
    <t>"Керамик - 96" ООД,
гр.Нови Искър</t>
  </si>
  <si>
    <t>08.12.1999 г.</t>
  </si>
  <si>
    <t>14.07.2008 г.</t>
  </si>
  <si>
    <t>№ 529 от 12.08.2008 г.</t>
  </si>
  <si>
    <t>2001-2013</t>
  </si>
  <si>
    <t>2014*</t>
  </si>
  <si>
    <t>ЕС-28</t>
  </si>
  <si>
    <t>* Данните за 2014 г. са предварителни за деветмесечието на годината.</t>
  </si>
  <si>
    <t>17.09.2002 г.</t>
  </si>
  <si>
    <t>мрамори</t>
  </si>
  <si>
    <t>"Лилково", общ."Родопи", обл.Пловдив</t>
  </si>
  <si>
    <t>"Омия-Геотехмин"ООД</t>
  </si>
  <si>
    <t>№ 318 от 31.05.2002 г.</t>
  </si>
  <si>
    <t>D - 00206</t>
  </si>
  <si>
    <t>№ 716 от 06.11.2002 г.</t>
  </si>
  <si>
    <t>кварц-фелдшпатови глинести пясъчници</t>
  </si>
  <si>
    <t>"Керемидките - участък I", общ.Стамболово, обл.Хасково</t>
  </si>
  <si>
    <t>27.12.2002 г.</t>
  </si>
  <si>
    <t>кварц-каолинова суровина</t>
  </si>
  <si>
    <t>"Есенниците - VIII участък", общ.Ветово, обл.Русе</t>
  </si>
  <si>
    <t>№ 36 от 21.01.2003 г.</t>
  </si>
  <si>
    <t>25.02.2003 г.</t>
  </si>
  <si>
    <t>12.01.2000 г.</t>
  </si>
  <si>
    <t>№ 482 от 10.07.2003 г.</t>
  </si>
  <si>
    <t>"Ралица", общ.Стамболово, обл.Хасково</t>
  </si>
  <si>
    <t>22.08.2003 г.</t>
  </si>
  <si>
    <t>№ 697 от 07.10.2003 г.</t>
  </si>
  <si>
    <t>"Саръгьол - 21-во гнездо", общ.Каолиново, обл.Шумен</t>
  </si>
  <si>
    <t>"Каолин"АД, гр.Сеново</t>
  </si>
  <si>
    <t>05.11.2003 г.</t>
  </si>
  <si>
    <t>"Гравелита"ООД, гр.София</t>
  </si>
  <si>
    <t>"Кирешлика", с.Крум, общ.Димитровград, обл.Хасково</t>
  </si>
  <si>
    <t>№ 829 от 25.11.2003 г.</t>
  </si>
  <si>
    <t xml:space="preserve">№ 684 от 30.09.2003 </t>
  </si>
  <si>
    <t xml:space="preserve">"Хидрострой" ООД, гр.Перник </t>
  </si>
  <si>
    <t>15.09.2008 г.</t>
  </si>
  <si>
    <t>№ 527 от 12.08.2008 г.</t>
  </si>
  <si>
    <t xml:space="preserve">"Стряма 1", общ.Калояново, обл.Пловдив 
</t>
  </si>
  <si>
    <t xml:space="preserve">"Водстрой Пловдив"АД, гр.Пловдив </t>
  </si>
  <si>
    <t>19.09.2008 г.</t>
  </si>
  <si>
    <t>№ 514 от 05.08.2008 г.</t>
  </si>
  <si>
    <t>10.09.2008 г.</t>
  </si>
  <si>
    <t>"Студена", у-к "Заводски строежи 2", общ.Перник, обл.Перник</t>
  </si>
  <si>
    <t>"Орешец", общ.Димово, обл.Видин</t>
  </si>
  <si>
    <t>21.08.2008 г.</t>
  </si>
  <si>
    <t>"СК-13 ПЕЧ" АД, гр.София</t>
  </si>
  <si>
    <t>№ 513 от 05.08.2008 г.
изм. 09.02.2009 г.</t>
  </si>
  <si>
    <t>№ 408 от 25.06.2008 г.</t>
  </si>
  <si>
    <t>"Бучака", общ.Благоевград, обл.Благоевград</t>
  </si>
  <si>
    <t xml:space="preserve">"Агромах" ЕООД, гр.Благоевград </t>
  </si>
  <si>
    <t>15.07.2008 г.</t>
  </si>
  <si>
    <t>№ 367 от 12.06.2008 г.</t>
  </si>
  <si>
    <t>"Лисово", общ.Свиленград, обл.Хасково</t>
  </si>
  <si>
    <t>04.07.2008 г.</t>
  </si>
  <si>
    <t>"Богданово - запад", общ.Средец, обл.Бургас</t>
  </si>
  <si>
    <t>24.07.2008 г.</t>
  </si>
  <si>
    <t>№ 407 от 25.06.2008 г.
№ 822 от 28.10.2009 г.</t>
  </si>
  <si>
    <t>№ 515 от 08.08.2008 г.</t>
  </si>
  <si>
    <t>"Побит камък", у-к "Боята", общ.Елин Пелин, обл.София</t>
  </si>
  <si>
    <t>16.09.2008 г.</t>
  </si>
  <si>
    <t>27.12.1999 г.</t>
  </si>
  <si>
    <t>"Българска керамична компания" EООД, гр.София</t>
  </si>
  <si>
    <t>"Ягода-Запад", общ.Мъглиж и общ.Казанлък, обл.Стара Загора</t>
  </si>
  <si>
    <t xml:space="preserve">"Стройкомбинат - М" АД, гр.Стара Загора </t>
  </si>
  <si>
    <t>11.09.2008 г.</t>
  </si>
  <si>
    <t>№ 528 от 12.08.2008 г.</t>
  </si>
  <si>
    <t>"Белащица - участък "Юг", общ."Родопи", обл.Пловдив</t>
  </si>
  <si>
    <t>04.09.2008 г.</t>
  </si>
  <si>
    <t>03.02.1997 г.</t>
  </si>
  <si>
    <t>"Пътища Пловдив" АД, гр.Пловдив</t>
  </si>
  <si>
    <t xml:space="preserve"> № 336 от 26.05.2006 г.</t>
  </si>
  <si>
    <t>"Луда Яна", общ.Панагюрище и общ.Стрелча, обл.Пазарджик</t>
  </si>
  <si>
    <t>баластра 
(пясък и чакъл)</t>
  </si>
  <si>
    <t xml:space="preserve">"Елшица - 99" АД, гр.София </t>
  </si>
  <si>
    <t>11.06.2008 г.</t>
  </si>
  <si>
    <t>03.12.2008 г.</t>
  </si>
  <si>
    <t>"Лозница 2", у-к "1-ви" и 
у-к "2-ри", общ.Пазарджик, обл.Пазарджик</t>
  </si>
  <si>
    <t>"ВРИС" ООД, Пловдив</t>
  </si>
  <si>
    <t>№ 672 от 29.10.2008 г. 
изм. 04.03.2010 г.</t>
  </si>
  <si>
    <t>05.12.2006 г.</t>
  </si>
  <si>
    <t>№ 847 от 07.12.2006 г.
№ 157 от 23.03.2010 г.</t>
  </si>
  <si>
    <t>кварцови пясъци за филтрационни цели</t>
  </si>
  <si>
    <t>"Побит камък", с.Нови хан, общ.Елин Пелин, обл.София</t>
  </si>
  <si>
    <t>06.02.2007 г.</t>
  </si>
  <si>
    <t>№ 846 от 07.12.2006 г.
№ 157 от 23.03.2010 г.</t>
  </si>
  <si>
    <t>"Малък Гайтановец", общ.Белово, обл.Пазарджик</t>
  </si>
  <si>
    <t>доломити</t>
  </si>
  <si>
    <t>находище "Верона", с.Белица, общ.Ихтиман, обл.София и
с.Поибрене, общ.Панагюрище, обл.Пазарджик</t>
  </si>
  <si>
    <t>10.11.2005 г.</t>
  </si>
  <si>
    <t>№ 816 от 17.10.2005 г.
№ 342 от 16.05.2007 г.</t>
  </si>
  <si>
    <t>"Ивеста" ООД, гр.Хасково</t>
  </si>
  <si>
    <t>27.05.2009 г.</t>
  </si>
  <si>
    <t>№ 207 от 30.03.2009 г.</t>
  </si>
  <si>
    <t>"Фабриката 4", с.Кобилино, общ.Ивайловград, обл.Хасково</t>
  </si>
  <si>
    <t>"Габъра", с.Черни рид, общ.Ивайловград, обл.Хасково</t>
  </si>
  <si>
    <t>12.06.2009 г.</t>
  </si>
  <si>
    <t>№ 270 от 21.04.2009 г.
№ 658 от 14.09.2010 г.</t>
  </si>
  <si>
    <t>"Моллов - 07" ООД, гр.Ивайловград</t>
  </si>
  <si>
    <t>№ 488 от 22.06.2009 г.</t>
  </si>
  <si>
    <t>"Станеви ниви", с.Върбеш-ница, общ.Мездра, обл.Враца</t>
  </si>
  <si>
    <t>"НИИ геология и геофизика" АД, гр.София</t>
  </si>
  <si>
    <t>21.07.2009 г.</t>
  </si>
  <si>
    <t>27.07.2009 г.</t>
  </si>
  <si>
    <t>№ 821 от 27.10.2009 г.</t>
  </si>
  <si>
    <t>"Нурмус", общ.Ивайловград, обл.Хасково</t>
  </si>
  <si>
    <t>14.06.2010 г.</t>
  </si>
  <si>
    <t>№ 200 от 09.04.2010 г.</t>
  </si>
  <si>
    <t>"Дионисо" - участък "Втори", с.Върбешница, общ.Мездра, обл.Враца</t>
  </si>
  <si>
    <t>"Дионисомарбле - България" ЕООД, гр.София</t>
  </si>
  <si>
    <t>13.08.2010 г.</t>
  </si>
  <si>
    <t>№ 624 от 20.07.2009 г.</t>
  </si>
  <si>
    <t>"Гнайс" ЕООД, гр.Ивайловград</t>
  </si>
  <si>
    <t>"Кобилино", у-к "Бахирките", с.Кобилино, общ.Ивайловград, обл.Хасково</t>
  </si>
  <si>
    <t>17.08.2010 г.</t>
  </si>
  <si>
    <t>18.06.2004 г.</t>
  </si>
  <si>
    <t>n.q.</t>
  </si>
  <si>
    <t>№ 998 от 04.12.1997 г.</t>
  </si>
  <si>
    <t>"Лиляче", обл.Монтана</t>
  </si>
  <si>
    <t>14.12.1997 г.</t>
  </si>
  <si>
    <t>"Белоизворски цимент" ЕАД, с.Бели Извор</t>
  </si>
  <si>
    <t>№ 997 от 04.12.1997 г.</t>
  </si>
  <si>
    <t>"Бели Извор", обл.Монтана</t>
  </si>
  <si>
    <t>"Коритна", обл.Ловеч</t>
  </si>
  <si>
    <t>18.12.1997 г.</t>
  </si>
  <si>
    <t>№ 1001 от 04.12.1997 г.
№ 127 от 12.03.2010 г.</t>
  </si>
  <si>
    <t xml:space="preserve">"Златна Панега Цимент" АД,
с.Златна Панега </t>
  </si>
  <si>
    <t>№ 1002 от 04.12.1997 г.</t>
  </si>
  <si>
    <t>"Златна Панега", обл.Ловеч</t>
  </si>
  <si>
    <t>"Белия бряг", обл.Ловеч</t>
  </si>
  <si>
    <t>22.03.1999 г.</t>
  </si>
  <si>
    <t>№ 84 от 16.02.1999 г.
№ 158 от 14.03.2009 г.</t>
  </si>
  <si>
    <t>"Кайлъка", обл.Ловеч</t>
  </si>
  <si>
    <t>№ 85 от 16.02.1999 г.
№ 160 от 14.03.2009 г.</t>
  </si>
  <si>
    <t>D - 00090</t>
  </si>
  <si>
    <t>D - 00091</t>
  </si>
  <si>
    <t>D - 00092</t>
  </si>
  <si>
    <t>D - 00131</t>
  </si>
  <si>
    <t>D - 00132</t>
  </si>
  <si>
    <t>D - 00133</t>
  </si>
  <si>
    <t>D - 00134</t>
  </si>
  <si>
    <t>D - 00135</t>
  </si>
  <si>
    <t>D - 00142</t>
  </si>
  <si>
    <t>D - 00143</t>
  </si>
  <si>
    <t>D - 00145</t>
  </si>
  <si>
    <t>D - 00146</t>
  </si>
  <si>
    <t>D - 00147</t>
  </si>
  <si>
    <t>D - 00148</t>
  </si>
  <si>
    <t>D - 00149</t>
  </si>
  <si>
    <t>D - 00150</t>
  </si>
  <si>
    <t>D - 00151</t>
  </si>
  <si>
    <t>D - 00152</t>
  </si>
  <si>
    <t>D - 00153</t>
  </si>
  <si>
    <t>D - 00154</t>
  </si>
  <si>
    <t>D - 00155</t>
  </si>
  <si>
    <t>D - 00156</t>
  </si>
  <si>
    <t>D - 00157</t>
  </si>
  <si>
    <t>D - 00158</t>
  </si>
  <si>
    <t>D - 00161</t>
  </si>
  <si>
    <t>D - 00162</t>
  </si>
  <si>
    <t>D - 00163</t>
  </si>
  <si>
    <t>D - 00164</t>
  </si>
  <si>
    <t>D - 00165</t>
  </si>
  <si>
    <t>D - 00166</t>
  </si>
  <si>
    <t>D - 00167</t>
  </si>
  <si>
    <t>D - 00181</t>
  </si>
  <si>
    <t>D - 00182</t>
  </si>
  <si>
    <t>D - 00183</t>
  </si>
  <si>
    <t>D - 00191</t>
  </si>
  <si>
    <t>D - 00192</t>
  </si>
  <si>
    <t>D - 00193</t>
  </si>
  <si>
    <t>D - 00194</t>
  </si>
  <si>
    <t>D - 00195</t>
  </si>
  <si>
    <t>D - 00203</t>
  </si>
  <si>
    <t>D - 00204</t>
  </si>
  <si>
    <t>D - 00216</t>
  </si>
  <si>
    <t>D - 00217</t>
  </si>
  <si>
    <t>D - 00220</t>
  </si>
  <si>
    <t>D - 00221</t>
  </si>
  <si>
    <t>D - 00222</t>
  </si>
  <si>
    <t>D - 00223</t>
  </si>
  <si>
    <t>D - 00224</t>
  </si>
  <si>
    <t>D - 00233</t>
  </si>
  <si>
    <t>D - 00235</t>
  </si>
  <si>
    <t>D - 00240</t>
  </si>
  <si>
    <t>D - 00243</t>
  </si>
  <si>
    <t>D - 00244</t>
  </si>
  <si>
    <t>D - 00246</t>
  </si>
  <si>
    <t>D - 00249</t>
  </si>
  <si>
    <t>D - 00251</t>
  </si>
  <si>
    <t>D - 00252</t>
  </si>
  <si>
    <t>D - 00253</t>
  </si>
  <si>
    <t>D - 00255</t>
  </si>
  <si>
    <t>D - 00257</t>
  </si>
  <si>
    <t>D - 00258</t>
  </si>
  <si>
    <t>D - 00259</t>
  </si>
  <si>
    <t>D - 00263</t>
  </si>
  <si>
    <t>баластра 
(пясъци и чакъли)</t>
  </si>
  <si>
    <t>№ 276 от 08.04.2004 г.</t>
  </si>
  <si>
    <t>"Кочериново", общ. Кочериново, обл.Кюстендил</t>
  </si>
  <si>
    <t>"Рудината", район "Кремиковци", обл.София</t>
  </si>
  <si>
    <t>21.06.2004 г.</t>
  </si>
  <si>
    <t>17.01.1997 г.</t>
  </si>
  <si>
    <t>№ 391 от 10.05.2004 г.
№ 804 от 05.12.2007 г.</t>
  </si>
  <si>
    <t>№ 403 от 17.05.2004 г.</t>
  </si>
  <si>
    <t>"Челопечене", участък "Запад", обл.София</t>
  </si>
  <si>
    <t>"ЗСК Кремиковци" АД, гр.София</t>
  </si>
  <si>
    <t>№ 467 от 31.05.2004 г.</t>
  </si>
  <si>
    <t>"Селимица", район "Нови Искър", обл.София</t>
  </si>
  <si>
    <t>09.07.2004 г.</t>
  </si>
  <si>
    <t>"МСЕ - 2001" ООД, гр.София</t>
  </si>
  <si>
    <t>№ 518 от 03.07.2001 г.</t>
  </si>
  <si>
    <t>"Ястребна", с.Ястребна, общ,Ситово, обл.Силистра</t>
  </si>
  <si>
    <t>"Водно строителство - Силистра" АД, гр.Силистра</t>
  </si>
  <si>
    <t>№ 481 от 01.07.2004 г.</t>
  </si>
  <si>
    <t>№ 725 от 09.09.2004 г.</t>
  </si>
  <si>
    <t>Чирен", с.Чирен, общ.Враца, обл.Враца</t>
  </si>
  <si>
    <t>25.10.2004 г.</t>
  </si>
  <si>
    <t>01.07.2002 г.</t>
  </si>
  <si>
    <t>"Минстрой холдинг" АД</t>
  </si>
  <si>
    <t>"Мързян" - у-к "Мързян-север", обл.Смолян</t>
  </si>
  <si>
    <t>"Хвостохранилище Медет", Софийска област</t>
  </si>
  <si>
    <t>D - 00280</t>
  </si>
  <si>
    <t>20.12.2004 г.</t>
  </si>
  <si>
    <t>Общо</t>
  </si>
  <si>
    <t>D - 00264</t>
  </si>
  <si>
    <t>D - 00265</t>
  </si>
  <si>
    <t>D - 00268</t>
  </si>
  <si>
    <t>D - 00269</t>
  </si>
  <si>
    <t>D - 00270</t>
  </si>
  <si>
    <t>D - 00271</t>
  </si>
  <si>
    <t>D - 00272</t>
  </si>
  <si>
    <t>D - 00273</t>
  </si>
  <si>
    <t>D - 00274</t>
  </si>
  <si>
    <t>D - 00275</t>
  </si>
  <si>
    <t>D - 00276</t>
  </si>
  <si>
    <t>D - 00278</t>
  </si>
  <si>
    <t>D - 00279</t>
  </si>
  <si>
    <t>"Благов камък", общ. Бобошево, обл.Кюстендил</t>
  </si>
  <si>
    <t>04.01.2007 г.</t>
  </si>
  <si>
    <t>"БДС" ЕООД, гр.София</t>
  </si>
  <si>
    <t>№ 154 от 13.03.2007 г.</t>
  </si>
  <si>
    <t>"Лиляк", общ.Търговище, обл.Търговище</t>
  </si>
  <si>
    <t>23.04.2007 г.</t>
  </si>
  <si>
    <t xml:space="preserve">"Пътинженерингстрой - Т" АД, гр.Търговище </t>
  </si>
  <si>
    <t>№ 197 от 27.03.2007 г.</t>
  </si>
  <si>
    <t>"Владимирово", общ. Бойчиновци, обл.Монтана</t>
  </si>
  <si>
    <t>10.05.2007 г.</t>
  </si>
  <si>
    <t>"Пътинженеринг - М" ЕАД, гр.Монтана</t>
  </si>
  <si>
    <t>№ 811 от 23.11.2006 г.</t>
  </si>
  <si>
    <t>баластра</t>
  </si>
  <si>
    <t>"Адата" - у-к "Адата - запад", общ.Първомай, обл.Пловдив</t>
  </si>
  <si>
    <t>"Витал транс" ООД, гр.Първомай</t>
  </si>
  <si>
    <t>D - 00587</t>
  </si>
  <si>
    <t>"Старо Оряхово 2", с.Старо Оряхово, общ.Долни чифлик, обл.Варна</t>
  </si>
  <si>
    <t>D - 00590</t>
  </si>
  <si>
    <t>"Памуклука", с.Сулица, общ.Ст.Загора, обл.Стара Загора</t>
  </si>
  <si>
    <t>D - 00596</t>
  </si>
  <si>
    <t>"Водолей", с.Водолей и с.Дичин, общ.Велико Търново, обл.Велико Търново</t>
  </si>
  <si>
    <t>D - 00598</t>
  </si>
  <si>
    <t>"Окопите", с.Окоп, общ.Тунджа, обл.Ямбол</t>
  </si>
  <si>
    <t>D - 00599</t>
  </si>
  <si>
    <t>"Изток", с.Мирянци, общ.Пазарджик, обл.Пазарджик</t>
  </si>
  <si>
    <t>D - 00600</t>
  </si>
  <si>
    <t>"Шишманци - участък 2", с.Шишманци, общ.Раковски, обл.Пловдив</t>
  </si>
  <si>
    <t>D - 00601</t>
  </si>
  <si>
    <t>"Куртово Конаре", с.Куртово Конаре, общ.Стамболийски и гр.Кричим, общ.Кричим,
обл.Пловдив</t>
  </si>
  <si>
    <t>D - 00604</t>
  </si>
  <si>
    <t>"Кояджика", с.Палаузово, общ.Стралджа, обл.Ямбол</t>
  </si>
  <si>
    <t>D - 00605</t>
  </si>
  <si>
    <t>"Богорово", с.Богорово, общ.Силистра, обл.Силистра</t>
  </si>
  <si>
    <t>D - 00611</t>
  </si>
  <si>
    <t>"Антимово I", с.Антимово, общ.Видин, обл.Видин</t>
  </si>
  <si>
    <t>D - 00612</t>
  </si>
  <si>
    <t>"Близнаков андък" - у-ци "Потока (1-ви контур и 2-ри контур) и "Златолист", с.Златолист, общ.Сандански, обл.Благоевград</t>
  </si>
  <si>
    <t>D - 00613</t>
  </si>
  <si>
    <t xml:space="preserve">№ 247 от 23.04.2002 г.
№ 804 от 05.12.2007 г. </t>
  </si>
  <si>
    <t>"Пет могили - изток", обл.София</t>
  </si>
  <si>
    <t xml:space="preserve">№ 246 от 23.04.2002 г.
№ 804 от 05.12.2007 г.  </t>
  </si>
  <si>
    <t>№ 669 от 17.10.2002 г.</t>
  </si>
  <si>
    <t>"Русаля", обл.Велико Търново</t>
  </si>
  <si>
    <t>16.07.2003 г.</t>
  </si>
  <si>
    <t>"Пътни строежи - Велико Търново" ЕАД</t>
  </si>
  <si>
    <t xml:space="preserve">№ 670 от 17.10.2002 г. </t>
  </si>
  <si>
    <t>"Шереметя", участък "Запад", обл.Велико Търново</t>
  </si>
  <si>
    <t>№ 224 от 10.04.2003 г.</t>
  </si>
  <si>
    <t>"Черешата", обл.Враца</t>
  </si>
  <si>
    <t>мергели</t>
  </si>
  <si>
    <t>глинести мергели</t>
  </si>
  <si>
    <t>26.06.2003 г.</t>
  </si>
  <si>
    <t>"Стройкерамика" АД, гр.Мездра</t>
  </si>
  <si>
    <t>"Мездренски връх", обл.Враца</t>
  </si>
  <si>
    <t xml:space="preserve">№ 223 от 26.06.2003 г. </t>
  </si>
  <si>
    <t>№ 545 от 31.07.2003 г.</t>
  </si>
  <si>
    <t>"Долна махала", общ.Калояново, обл.Пловдив</t>
  </si>
  <si>
    <t>08.09.2003 г.</t>
  </si>
  <si>
    <t>"МЕМ - 2000" ЕООД, гр.Пловдив</t>
  </si>
  <si>
    <t>"Градище-2", с.Бошуля, общ. Септември, обл.Пазарджик</t>
  </si>
  <si>
    <t xml:space="preserve">"Ангел Кърджев - 89" ООД, гр.Пазарджик </t>
  </si>
  <si>
    <t>№ 546 от 31.07.2003 г.
№ 511 от 05.08.2008 г.</t>
  </si>
  <si>
    <t>№ 548 от 31.07.2003 г.</t>
  </si>
  <si>
    <t>"Исланица", с.Априлово, общ. Горна Малина, обл.София</t>
  </si>
  <si>
    <t>ЕТ "САМ - ДПД - Димитър Димитров", гр.София</t>
  </si>
  <si>
    <t>"Картал тепе", с.Динката, общ.Лесичово, обл.Пазарджик</t>
  </si>
  <si>
    <t xml:space="preserve">"ВРИС" ООД, гр.Пловдив </t>
  </si>
  <si>
    <t>№ 574 от 31.07.2003 г.
№ 804 от 05.12.2007 г.</t>
  </si>
  <si>
    <t>2004-2013</t>
  </si>
  <si>
    <t>За апаратура за мониторинг и контрол</t>
  </si>
  <si>
    <t>Оценка на въздействието върху околната среда</t>
  </si>
  <si>
    <t>За водните ресурси**</t>
  </si>
  <si>
    <t>За оборотно водоснабдяване</t>
  </si>
  <si>
    <t>За въздуха</t>
  </si>
  <si>
    <t>За опазване на почвата и подпочвените води</t>
  </si>
  <si>
    <t>За отпадъците</t>
  </si>
  <si>
    <t>За шума</t>
  </si>
  <si>
    <t>За научно-изследователската дейност</t>
  </si>
  <si>
    <t>За административна дейност</t>
  </si>
  <si>
    <t>D - 00321</t>
  </si>
  <si>
    <t>Кокошките", общ.Хаджи-димово, обл.Благоевград</t>
  </si>
  <si>
    <t>№ 167 от 08.03.2005 г.</t>
  </si>
  <si>
    <t>12.04.2005 г.</t>
  </si>
  <si>
    <t>"Шербетов - М"ООД, 
гр.Гоце Делчев</t>
  </si>
  <si>
    <t>"Кубратово-1", Столична община, обл.София</t>
  </si>
  <si>
    <t>29.08.2005 г.</t>
  </si>
  <si>
    <t xml:space="preserve">"Пирин - Титан" ООД, гр.София </t>
  </si>
  <si>
    <t>№ 672 от 20.07.2005 г.
№ 677 от 15.09.2006 г.</t>
  </si>
  <si>
    <t>"Кирмец", общ.Сливен, обл.Сливен</t>
  </si>
  <si>
    <t xml:space="preserve">"Такси Рони" ЕООД, гр.Сливен </t>
  </si>
  <si>
    <t>№ 189 от 14.03.2005 г.</t>
  </si>
  <si>
    <t>№ 160 от 08.03.2005 г.
№ 804 от 05.12.2007 г.</t>
  </si>
  <si>
    <t xml:space="preserve"> "Крепост", участък "Запад", общ.Димитровград, обл.Хасково</t>
  </si>
  <si>
    <t>25.04.2005 г.</t>
  </si>
  <si>
    <t>Концесионери: 4  Концесии: 10</t>
  </si>
  <si>
    <t>Концесионери: 4  Концесии: 4</t>
  </si>
  <si>
    <t>Концесионери: 9  Концесии: 12</t>
  </si>
  <si>
    <t>"Добри дол", с.Септемврийци, общ.Димово, обл.Видин</t>
  </si>
  <si>
    <t>D - 00644</t>
  </si>
  <si>
    <t>"Златна Панега", у-к "Изток", с.Брестница, общ.Ябланица, обл.Ловеч</t>
  </si>
  <si>
    <t>D - 00645</t>
  </si>
  <si>
    <t>"Лилиян", с.Славовица, общ.Долна Митрополия, обл.Плевен</t>
  </si>
  <si>
    <t>D - 00646</t>
  </si>
  <si>
    <t>"Суворово", гр.Суворово, общ.Суворово, обл.Варна</t>
  </si>
  <si>
    <t>D - 00647</t>
  </si>
  <si>
    <t>"Железни врата, у-к "1" и у-к "2", с.Седловина и с.Широко поле, общ.Кърджали, обл.Кърджали</t>
  </si>
  <si>
    <t>D - 00648</t>
  </si>
  <si>
    <t>"Свети Иван", с.Гара Орешец, общ.Димово, обл.Видин</t>
  </si>
  <si>
    <t>D - 00649</t>
  </si>
  <si>
    <t>"Футула", с.Железник и с.Смолник, общ.Карнобат, обл.Бургас</t>
  </si>
  <si>
    <t>D - 00657</t>
  </si>
  <si>
    <t>"Трите круши - запад", гр.Карнобат, общ.Карнобат, обл.Бургас</t>
  </si>
  <si>
    <t>D - 00658</t>
  </si>
  <si>
    <t>"Егреците", гр.Ветрен, общ.Септември, обл.Пазарджик</t>
  </si>
  <si>
    <t>D - 00659</t>
  </si>
  <si>
    <t>"Поповяне", с.Поповяне, общ.Самоков, Софийска област</t>
  </si>
  <si>
    <t>D - 00660</t>
  </si>
  <si>
    <t>"Зъбера - 2", с.Белотинци, общ.Монтана, обл.Монтана</t>
  </si>
  <si>
    <t>D - 00662</t>
  </si>
  <si>
    <t>"Каменището", гр.Летница, общ.Летница, обл.Ловеч</t>
  </si>
  <si>
    <t>D - 00664</t>
  </si>
  <si>
    <t>"Старите колиби", с.Мулдава, общ.Асеновград, обл.Пловдив</t>
  </si>
  <si>
    <t>D - 00666</t>
  </si>
  <si>
    <t>"Житосвят", с.Орлинци, общ.Средец и с.Житосвят, общ.Карнобат, обл.Бургас</t>
  </si>
  <si>
    <t>D - 00667</t>
  </si>
  <si>
    <t>"Вишовград", с.Вишовград, общ.Павликени, обл.Велико Търново</t>
  </si>
  <si>
    <t>D - 00668</t>
  </si>
  <si>
    <t>"Боаза", общ.Търговище, обл.Търговище</t>
  </si>
  <si>
    <t>D - 00671</t>
  </si>
  <si>
    <t>"Лещака", с.Раковица, общ.Макреш, обл.Видин</t>
  </si>
  <si>
    <t>D - 00672</t>
  </si>
  <si>
    <t>"Мадлен", с.Горско Сливово, общ.Летница, обл.Ловеч</t>
  </si>
  <si>
    <t>"Хидробетон" ООД, с.Казичене, Столична община</t>
  </si>
  <si>
    <t>D - 00674</t>
  </si>
  <si>
    <t>"Чаирите", у-ци "Северен" и "Южен", с.Китка, общ.Аврен, обл.Варна</t>
  </si>
  <si>
    <t>D - 00677</t>
  </si>
  <si>
    <t>"Инджова върба - 2", с.Ръжево Конаре, общ.Калояново, обл.Пловдив</t>
  </si>
  <si>
    <t>D - 00678</t>
  </si>
  <si>
    <t>"Алчака", с.Хаджиево, общ.Пазарджик, обл.Пазарджик</t>
  </si>
  <si>
    <t>D - 00679</t>
  </si>
  <si>
    <t>"Юрт дере", у-к "Калцит", гр.Димитровград, общ.Димитровград, обл.Хасково</t>
  </si>
  <si>
    <t>O - 00003</t>
  </si>
  <si>
    <t>син мергел</t>
  </si>
  <si>
    <t>"Вилма" ООД, гр.Търговище</t>
  </si>
  <si>
    <t>с.Пробуда, общ.Търговище, обл.Търговище</t>
  </si>
  <si>
    <t>"Бов", общ.Своге, Софийска област</t>
  </si>
  <si>
    <t>O - 00040</t>
  </si>
  <si>
    <t>диабазови брекчи</t>
  </si>
  <si>
    <t>"Главболгарстрой" АД, гр.София</t>
  </si>
  <si>
    <t>O - 00206</t>
  </si>
  <si>
    <t>"Срем", с.Срем, общ.Тополовград. Обл.Хасково</t>
  </si>
  <si>
    <t>инертни материали</t>
  </si>
  <si>
    <t>O - 00561</t>
  </si>
  <si>
    <t>35/2009</t>
  </si>
  <si>
    <t>Ескана АД, гр. Варна</t>
  </si>
  <si>
    <t>06.07.2011 г.</t>
  </si>
  <si>
    <t>76/2010</t>
  </si>
  <si>
    <t>"Ескана" АД, гр. Варна</t>
  </si>
  <si>
    <t>44/2011</t>
  </si>
  <si>
    <t>07.12.2011 г.</t>
  </si>
  <si>
    <t>"Пътища и мостове" ЕООД, гр. Варна</t>
  </si>
  <si>
    <t>08.03.2013 г.</t>
  </si>
  <si>
    <t>"Камчия - агро" ЕООД, гр. Долни Чифлик</t>
  </si>
  <si>
    <t>75/2012</t>
  </si>
  <si>
    <t>16.11.2012 г.</t>
  </si>
  <si>
    <t>"Топ-МД" ООД, гр. Варна</t>
  </si>
  <si>
    <t>80/2012</t>
  </si>
  <si>
    <t>08.01.2013 г.</t>
  </si>
  <si>
    <t>"Газтрейд" АД, гр. София</t>
  </si>
  <si>
    <t>30.01.2008 г.</t>
  </si>
  <si>
    <t>11.01.2006 г.</t>
  </si>
  <si>
    <t>ЕТ "Александър - Александър - Петър Петър Петков", гр. Бургас</t>
  </si>
  <si>
    <t>01.06.2006 г.</t>
  </si>
  <si>
    <t>ЕТ "Монио - 48 - Момчил Станков", гр. Варна</t>
  </si>
  <si>
    <t>24.09.2003 г.</t>
  </si>
  <si>
    <t>01.10.2003 г.</t>
  </si>
  <si>
    <t>"Лонгоз 04" ООД, гр. Варна</t>
  </si>
  <si>
    <t>33/2014</t>
  </si>
  <si>
    <t>08.07.2014 г.</t>
  </si>
  <si>
    <t>O - 00985</t>
  </si>
  <si>
    <t>ЕТ "Морски бряг - Атанаска Василева", гр. Варна</t>
  </si>
  <si>
    <t>03.10.2003 г.</t>
  </si>
  <si>
    <t>100/2002</t>
  </si>
  <si>
    <t>74/2005</t>
  </si>
  <si>
    <t>46/2009</t>
  </si>
  <si>
    <t>"Стрела - 92" ООД, гр. Велико Търново</t>
  </si>
  <si>
    <t>16.11.2011 г.</t>
  </si>
  <si>
    <t>20.12.1999 г.</t>
  </si>
  <si>
    <t>ПК "Агрострой", гр. Велико Търново</t>
  </si>
  <si>
    <t>103/2011</t>
  </si>
  <si>
    <t>01.03.2012 г.</t>
  </si>
  <si>
    <t>27/2012</t>
  </si>
  <si>
    <t>29.06.2012 г.</t>
  </si>
  <si>
    <t>39/2012</t>
  </si>
  <si>
    <t>23.10.2013 г.</t>
  </si>
  <si>
    <t>Дата на сключване на концесионния договор</t>
  </si>
  <si>
    <t>Срок на концесията
(години)</t>
  </si>
  <si>
    <t>мергел</t>
  </si>
  <si>
    <t>D - 00003</t>
  </si>
  <si>
    <t>D - 00004</t>
  </si>
  <si>
    <t>варовик и мергел</t>
  </si>
  <si>
    <t xml:space="preserve">"Белащица", обл.Пловдив </t>
  </si>
  <si>
    <t>01.02.2001 г.</t>
  </si>
  <si>
    <t>"Холсим кариерни материали Пловдив" АД, гр.Пловдив</t>
  </si>
  <si>
    <t>"Оризаре", обл.Пловдив</t>
  </si>
  <si>
    <t>пясъци</t>
  </si>
  <si>
    <t>"Шишманци", обл.Пловдив</t>
  </si>
  <si>
    <t>"Нова Шипка", у-к "Южен", общ.Долни чифлик, обл.Варна</t>
  </si>
  <si>
    <t>"Дебела могила", общ.Радомир, обл.Перник</t>
  </si>
  <si>
    <t>04.02.2005 г.</t>
  </si>
  <si>
    <t>"Алпа 2000" ООД, гр.София</t>
  </si>
  <si>
    <t>№ 1017 от 22.12.2004 г.
изм. 29.09.2008 г.</t>
  </si>
  <si>
    <t>"Томовото", общ.Плевен, обл.Плевен</t>
  </si>
  <si>
    <t>09.12.2004 г.</t>
  </si>
  <si>
    <t>"Холсим България" АД , с.Бели извор, общ.Враца</t>
  </si>
  <si>
    <t>№ 856 от 08.12.2003 г.
№ 157 от 14.03.2009 г.</t>
  </si>
  <si>
    <t>"Ошане", общ.Белоградчик, обл.Видин</t>
  </si>
  <si>
    <t>габродиабази</t>
  </si>
  <si>
    <t>21.02.2005 г.</t>
  </si>
  <si>
    <t>№ 773 от 28.09.2004 г.
изм. 26.11.2010 г.</t>
  </si>
  <si>
    <t>№ 772 от 28.09.2004 г.</t>
  </si>
  <si>
    <t>"Лозен", общ.Любимец, обл.Хасково</t>
  </si>
  <si>
    <t>"Пътни строежи" АД, гр.Пловдив</t>
  </si>
  <si>
    <t>№ 980 от 13.12.2004 г.</t>
  </si>
  <si>
    <t>"Яковия чифлик", общ.Асеновград, обл.Пловдив</t>
  </si>
  <si>
    <t>28.01.2005 г.</t>
  </si>
  <si>
    <t>"Асеновградски строител" ООД, гр.Асеновград</t>
  </si>
  <si>
    <t>№ 1019 от 15.12.2004 г.</t>
  </si>
  <si>
    <t>"Ерден", общ.Бойчиновци, обл.Монтана</t>
  </si>
  <si>
    <t>"ТБМ 2000" ЕООД, гр.Монтана</t>
  </si>
  <si>
    <t>"Староселци", общ.Долни Дъбник, обл.Плевен</t>
  </si>
  <si>
    <t xml:space="preserve">№ 539 от 30.07.2003 г. </t>
  </si>
  <si>
    <t>"Бърдарски геран", общ.Бяла Слатина, обл.Враца</t>
  </si>
  <si>
    <t xml:space="preserve">№ 540 от 30.07.2003 г. </t>
  </si>
  <si>
    <t xml:space="preserve">Наименование </t>
  </si>
  <si>
    <t>"ПИМ-продукт" ООД, гр.Хасково</t>
  </si>
  <si>
    <t>№ 361 от 18.05.2006 г.</t>
  </si>
  <si>
    <t>андезитови туфи</t>
  </si>
  <si>
    <t>№ 512 от 05.08.2008 г.</t>
  </si>
  <si>
    <t>№ 49 от 04.02.2000 г.</t>
  </si>
  <si>
    <t>43/2002; 68/2004</t>
  </si>
  <si>
    <t>91/2003</t>
  </si>
  <si>
    <t>D - 00565</t>
  </si>
  <si>
    <t>"Кам и Кам" ООД, гр. София</t>
  </si>
  <si>
    <t>Кафяви въглища</t>
  </si>
  <si>
    <t>70/2011</t>
  </si>
  <si>
    <t>23.11.2011 г.</t>
  </si>
  <si>
    <t>119/2001</t>
  </si>
  <si>
    <t>95/2008</t>
  </si>
  <si>
    <t>Кооперация "ПК Трасинженеринг", гр. София</t>
  </si>
  <si>
    <t>92/2012</t>
  </si>
  <si>
    <t>05.03.2013 г.</t>
  </si>
  <si>
    <t>87/2007</t>
  </si>
  <si>
    <t>36/2008</t>
  </si>
  <si>
    <t>10/2009</t>
  </si>
  <si>
    <t>119/1997</t>
  </si>
  <si>
    <t>11/2005</t>
  </si>
  <si>
    <t>83/2007</t>
  </si>
  <si>
    <t>„Пътинженерингстрой - Т” ЕАД, гр. Търговище</t>
  </si>
  <si>
    <t>79/2011</t>
  </si>
  <si>
    <t>16.12.2011 г.</t>
  </si>
  <si>
    <t>52/2012</t>
  </si>
  <si>
    <t>12.02.2013 г.</t>
  </si>
  <si>
    <t>"Летница - керамика" ЕООД, гр. Летница</t>
  </si>
  <si>
    <t>27/2013</t>
  </si>
  <si>
    <t>23.08.2013 г.</t>
  </si>
  <si>
    <t>"Паола Комерс" ООД, гр. Ловеч</t>
  </si>
  <si>
    <t>15.10.2007 г.</t>
  </si>
  <si>
    <t>97/2013</t>
  </si>
  <si>
    <t>30.05.2014 г.</t>
  </si>
  <si>
    <t>1/2005</t>
  </si>
  <si>
    <t>30/2007</t>
  </si>
  <si>
    <t>78/2007</t>
  </si>
  <si>
    <t>26/2008 г.</t>
  </si>
  <si>
    <t>53/2008</t>
  </si>
  <si>
    <t>"ТБМ - 2000" ЕООД, гр. Монтана</t>
  </si>
  <si>
    <t>40544</t>
  </si>
  <si>
    <t>14.07.2011 г.</t>
  </si>
  <si>
    <t>Концесионери: 18  Концесии: 19</t>
  </si>
  <si>
    <t>07.07.1999 г.</t>
  </si>
  <si>
    <t>№ 545 от 12.10.1998 г.</t>
  </si>
  <si>
    <t>№ 147 от 26.03.1999 г.</t>
  </si>
  <si>
    <t>"Челопеч", Софийска област</t>
  </si>
  <si>
    <t>19.05.1999 г.</t>
  </si>
  <si>
    <t>№ 255 от 20.04.1999 г.</t>
  </si>
  <si>
    <t xml:space="preserve">"Оброчище - Северозападен участък", обл.Добрич </t>
  </si>
  <si>
    <t>01.06.1999 г.</t>
  </si>
  <si>
    <t>"Евроманган" АД</t>
  </si>
  <si>
    <t>№ 594 от 02.09.1999 г.</t>
  </si>
  <si>
    <t>"Елаците", Софийска област</t>
  </si>
  <si>
    <t>15.11.1999 г.</t>
  </si>
  <si>
    <t>13.08.1999 г.</t>
  </si>
  <si>
    <t>"Елаците - Мед" ЕАД</t>
  </si>
  <si>
    <t xml:space="preserve">"Челопеч Майнинг" АД </t>
  </si>
  <si>
    <t>"Асарел -Медет" ЕАД</t>
  </si>
  <si>
    <t>№ 643 от 01.10.1999  г.</t>
  </si>
  <si>
    <t>"Чала", обл.Хасково</t>
  </si>
  <si>
    <t>16.11.1999 г.</t>
  </si>
  <si>
    <t>28.06.1999 г.</t>
  </si>
  <si>
    <t>"Еньовче", обл.Кърджали</t>
  </si>
  <si>
    <t>№ 642 от 01.10.1999  г.</t>
  </si>
  <si>
    <t>оловно-цинкови руди</t>
  </si>
  <si>
    <t>D - 00076</t>
  </si>
  <si>
    <t>"Пчелояд", обл.Кърджали</t>
  </si>
  <si>
    <t>D - 00077</t>
  </si>
  <si>
    <t>№ 647 от 01.10.1999  г.</t>
  </si>
  <si>
    <t>D - 00085</t>
  </si>
  <si>
    <t>04.01.2000 г.</t>
  </si>
  <si>
    <t>30.06.1999 г.</t>
  </si>
  <si>
    <t>D - 00351</t>
  </si>
  <si>
    <t>„Бобовдолски въглищен басейн” – у-к „1-ви май”</t>
  </si>
  <si>
    <t>25.11.2004 г.</t>
  </si>
  <si>
    <t>№ 834 от 20.10.2004 г.</t>
  </si>
  <si>
    <t>КОНЦЕСИИ ЗА ДОБИВ НА ПОДЗЕМНИ БОГАТСТВА - СТРОИТЕЛНИ МАТЕРИАЛИ</t>
  </si>
  <si>
    <t>ОБЩО ЗА СТРАНАТА</t>
  </si>
  <si>
    <t>млн.USD</t>
  </si>
  <si>
    <t>Добивна промишленост *</t>
  </si>
  <si>
    <t>* 2000 - 2007 г. - Без добив на енергийни суровини</t>
  </si>
  <si>
    <t>Производство на кокс, рафинирани нефтопродукти и ядрено гориво **</t>
  </si>
  <si>
    <t>Производство на основни метали и метални изделия, без машини и оборудване</t>
  </si>
  <si>
    <t>Неопасни отпадъци - общо</t>
  </si>
  <si>
    <r>
      <t xml:space="preserve"> Морска бункеровка</t>
    </r>
    <r>
      <rPr>
        <sz val="8"/>
        <rFont val="Tahoma"/>
        <family val="2"/>
      </rPr>
      <t xml:space="preserve"> - Нефтопродукти</t>
    </r>
  </si>
  <si>
    <t xml:space="preserve">"РИД" ЕООД, гр.Гоце Делчев </t>
  </si>
  <si>
    <t>№ 447 от 04.07.2007 г.</t>
  </si>
  <si>
    <t>№ 527 от 01.08.2007 г.</t>
  </si>
  <si>
    <t>"Лахъма", общ.Котел, обл.Сливен</t>
  </si>
  <si>
    <t>СД "Берко-90-Берковски &amp;", гр.Сливен</t>
  </si>
  <si>
    <t xml:space="preserve">№ 641 от 04.10.2007 г. </t>
  </si>
  <si>
    <t>"Студена - кариера ГУСВ", общ.Перник, обл.Перник</t>
  </si>
  <si>
    <t>05.11.2006 г.</t>
  </si>
  <si>
    <t>15.03.1999 г.</t>
  </si>
  <si>
    <t>ДП "Строителство и възстановяване", гр.София</t>
  </si>
  <si>
    <t>№ 671 от 22.10.2007 г.</t>
  </si>
  <si>
    <t>"Габи-2", общ.Бобошево, обл.Кюстендил</t>
  </si>
  <si>
    <t>D - 00490</t>
  </si>
  <si>
    <t>D - 00491</t>
  </si>
  <si>
    <t>D - 00492</t>
  </si>
  <si>
    <t>D - 00495</t>
  </si>
  <si>
    <t>D - 00496</t>
  </si>
  <si>
    <t>D - 00497</t>
  </si>
  <si>
    <t>D - 00498</t>
  </si>
  <si>
    <t>D - 00499</t>
  </si>
  <si>
    <t>D - 00500</t>
  </si>
  <si>
    <t>D - 00501</t>
  </si>
  <si>
    <t>D - 00503</t>
  </si>
  <si>
    <t>№ 208 от 19.04.2000 г.</t>
  </si>
  <si>
    <r>
      <t>ОСНОВНИ ИКОНОМИЧЕСКИ ПОКАЗАТЕЛИ ЗА СЕКТОР "ДОБИВНА ПРОМИШЛЕНОСТ" -  2011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</si>
  <si>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t>"Илинденци - Мрамор"ЕАД, общ.Струмяни</t>
  </si>
  <si>
    <t>№ 805 от 21.11.2006 г.</t>
  </si>
  <si>
    <t>гнайсошисти</t>
  </si>
  <si>
    <t>"Воденицата - 5", общ. Ивайловград, обл.Хасково</t>
  </si>
  <si>
    <t>06.11.2007 г.</t>
  </si>
  <si>
    <t>06.11.2006 г.</t>
  </si>
  <si>
    <t>№ 662 от 16.10.2007 г.</t>
  </si>
  <si>
    <t>"Могила", общ."Тунджа", обл.Ямбол</t>
  </si>
  <si>
    <t>23.10.2007 г.</t>
  </si>
  <si>
    <t>"Негован", обл.София</t>
  </si>
  <si>
    <t xml:space="preserve">№ 244 от 23.04.2002 г.
№ 804 от 05.12.2007 г. </t>
  </si>
  <si>
    <t>"Холсим Кариерни материали" АД, гр.София</t>
  </si>
  <si>
    <t xml:space="preserve">№ 245 от 23.04.2002 г.
№ 804 от 05.12.2007 г. </t>
  </si>
  <si>
    <t>"Пет могили - юг", обл.София</t>
  </si>
  <si>
    <r>
      <t>ОСНОВНИ ИКОНОМИЧЕСКИ ПОКАЗАТЕЛИ ЗА СЕКТОР "ДОБИВНА ПРОМИШЛЕНОСТ" -  2006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</si>
  <si>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r>
      <t>ОСНОВНИ ИКОНОМИЧЕСКИ ПОКАЗАТЕЛИ ЗА СЕКТОР "ДОБИВНА ПРОМИШЛЕНОСТ" -  2007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</si>
  <si>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r>
      <t>ОСНОВНИ ИКОНОМИЧЕСКИ ПОКАЗАТЕЛИ ЗА СЕКТОР "ДОБИВНА ПРОМИШЛЕНОСТ" -  2008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</si>
  <si>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r>
      <t>ОСНОВНИ ИКОНОМИЧЕСКИ ПОКАЗАТЕЛИ ЗА СЕКТОР "ДОБИВНА ПРОМИШЛЕНОСТ" -  2009</t>
    </r>
    <r>
      <rPr>
        <b/>
        <sz val="11"/>
        <color indexed="13"/>
        <rFont val="Tahoma"/>
        <family val="2"/>
      </rPr>
      <t xml:space="preserve"> </t>
    </r>
    <r>
      <rPr>
        <b/>
        <sz val="11"/>
        <rFont val="Tahoma"/>
        <family val="2"/>
      </rPr>
      <t>година</t>
    </r>
  </si>
  <si>
    <t xml:space="preserve">ВНОС И ИЗНОС НА ЕНЕРГИЙНИ РЕСУРСИ, РУДИ И МЕТАЛИ </t>
  </si>
  <si>
    <t>млн. EUR</t>
  </si>
  <si>
    <t>"Кандурови" ООД, с. Баните, общ.Баните, обл.Смолян</t>
  </si>
  <si>
    <t>№ 598 от 29.06.2005 г.</t>
  </si>
  <si>
    <t>"Гърлата", общ.Ямбол, обл.Ямбол</t>
  </si>
  <si>
    <t>29.07.2005 г.</t>
  </si>
  <si>
    <t>"Инертни материали - Ямбол" АД, гр.Ямбол</t>
  </si>
  <si>
    <t xml:space="preserve"> № 1020 от 22.12.2004 г.</t>
  </si>
  <si>
    <t>"Бремор", общ.Перник, обл.Перник</t>
  </si>
  <si>
    <t>"Грит - Морел" ЕООД, гр.София</t>
  </si>
  <si>
    <t>№ 360 от 01.01.2000 г.</t>
  </si>
  <si>
    <t>"Зимница", общ.Мъглиж, обл.Стара Загора</t>
  </si>
  <si>
    <t>№ 812 от 23.11.2006 г.</t>
  </si>
  <si>
    <t>"Соката", общ.Бургас, обл.Бургас</t>
  </si>
  <si>
    <t>05.01.2007 г.</t>
  </si>
  <si>
    <t>"Керамика Бургас" АД, гр.Бургас</t>
  </si>
  <si>
    <t>№ 878 от 18.12.2006 г.</t>
  </si>
  <si>
    <t>"Земен", у-к "Турско усое", общ.Земен, обл.Перник</t>
  </si>
  <si>
    <t>12.02.2007 г.</t>
  </si>
  <si>
    <t>"Кариери и вародобив" АД, гр.Земен</t>
  </si>
  <si>
    <t>№ 905 от 28.12.2006 г.</t>
  </si>
  <si>
    <t>"Габи", общ.Бобошево, обл.Кюстендил</t>
  </si>
  <si>
    <t>"Ди Ви Би" ООД, гр.София</t>
  </si>
  <si>
    <t>№ 810 от 23.11.2006 г.</t>
  </si>
  <si>
    <t>мраморизирани варовици</t>
  </si>
  <si>
    <t>22.01.1999 г.</t>
  </si>
  <si>
    <t>"Крепост" - у-к "Бъзка чука - югозапад" и у-к "Бъзка чука - изток", общ.Димитровград, обл. Хасково</t>
  </si>
  <si>
    <t>"Беттран" АД, гр.Хасково</t>
  </si>
  <si>
    <t>№ 903 от 28.12.2006 г.</t>
  </si>
  <si>
    <t>"Побит камък", общ.Елин Пелин, обл.София</t>
  </si>
  <si>
    <t>"Динел" ЕООД, гр.София</t>
  </si>
  <si>
    <t>№ 876 от 18.12.2006 г.</t>
  </si>
  <si>
    <t>"Събини върби - север", общ.Сливен, обл.Сливен</t>
  </si>
  <si>
    <t>"Инмат - 2004" ООД, гр.Сливен</t>
  </si>
  <si>
    <t>№ 634 от 06.07.2005 г.</t>
  </si>
  <si>
    <t>"Събев баир", общ.Тунджа, обл.Ямбол</t>
  </si>
  <si>
    <t>латити</t>
  </si>
  <si>
    <t>11.08.2005 г.</t>
  </si>
  <si>
    <t>№ 155 от 13.03.2007 г.</t>
  </si>
  <si>
    <t>базалтоандезити и андезитови туфобрекчи</t>
  </si>
  <si>
    <t>"Джебел", общ.Момчилград, обл.Кърджали</t>
  </si>
  <si>
    <t>18.04.2007 г.</t>
  </si>
  <si>
    <t>"Пътстройинженеринг" АД, гр.Кърджали</t>
  </si>
  <si>
    <t>№ 808 от 23.11.2006 г.</t>
  </si>
  <si>
    <t xml:space="preserve">Производство и разпределение на електроенергия, газ и вода </t>
  </si>
  <si>
    <t>Индустрия</t>
  </si>
  <si>
    <t>-</t>
  </si>
  <si>
    <t>Производство и разпределение на електро- и топлоенергия и доставяне на води</t>
  </si>
  <si>
    <t>*   От 2005 г. разходите за амортизация не са включени към разходите за опазване и възстановяване на околна среда.</t>
  </si>
  <si>
    <t>пясъци и чакъли (баластра)</t>
  </si>
  <si>
    <t>варовици и мергели</t>
  </si>
  <si>
    <t>трас</t>
  </si>
  <si>
    <t>диабази и гранодиорити</t>
  </si>
  <si>
    <t>ОБЩИНСКИ КОНЦЕСИИ</t>
  </si>
  <si>
    <t>ОБЩО:</t>
  </si>
  <si>
    <t>ДЪРЖАВНИ КОНЦЕСИИ</t>
  </si>
  <si>
    <t>№ 839 от 24.11.2010 г.</t>
  </si>
  <si>
    <t>№ 242 от 14.04.2011 г.</t>
  </si>
  <si>
    <t>взаимно съгласие
РМС №376 от 11.05.2012 г., 
анекс № 2 от 10.10.2012 г.</t>
  </si>
  <si>
    <t>изтичане срокът на договора</t>
  </si>
  <si>
    <t>взаимно съгласие
РМС №574 от 2012 г., 
анекс № 2 от 10.10.2012 г.</t>
  </si>
  <si>
    <t>"Рибарника - 1", кв.Дебър, гр.Първомай и с.Поройна,  общ.Първомай, обл.Пловдив</t>
  </si>
  <si>
    <t>№ 106 от 18.07.2008 г. по Протокол № 12 на Общ.съвет - Първомай</t>
  </si>
  <si>
    <t>№ 352 от 2006 г. на Общ.съвет - Аврен</t>
  </si>
  <si>
    <t xml:space="preserve"> № 340 от 23.11.2006 г. на Общ.съвет - Аврен</t>
  </si>
  <si>
    <t xml:space="preserve"> № 176 от 31.07.2008 г. по Протокол № 15 на Общ.съвет - Садово</t>
  </si>
  <si>
    <t>"Стоянчова чешма", с.Катунца, общ.Садово, обл.Пловдов</t>
  </si>
  <si>
    <t>"Експресстрой" ЕООД, гр.Варна</t>
  </si>
  <si>
    <t>"Байрям бей", общ.Аврен, обл.Варна</t>
  </si>
  <si>
    <t>"Мандра кула", общ.Аврен, обл.Варна</t>
  </si>
  <si>
    <t>O - К2</t>
  </si>
  <si>
    <t>O - К7</t>
  </si>
  <si>
    <t>O - К6</t>
  </si>
  <si>
    <t>O - К3</t>
  </si>
  <si>
    <t>№ 778 от 5.10.2009 г.</t>
  </si>
  <si>
    <t>№ 660 от 14.09.2010 г.</t>
  </si>
  <si>
    <t>№ 894 от 22.12.2010 г.</t>
  </si>
  <si>
    <t>№ 838 от 24.11.2010 г.</t>
  </si>
  <si>
    <t>27.12.2000 г.</t>
  </si>
  <si>
    <t>22.02.2000 г.</t>
  </si>
  <si>
    <t>№ 2 от 04.01.2011 г.</t>
  </si>
  <si>
    <t>№ 798 от 09.11.2010 г.</t>
  </si>
  <si>
    <t>№ '681 от 16.09.2010 г.</t>
  </si>
  <si>
    <t>№ 662 от 14.09.2010 г.</t>
  </si>
  <si>
    <t>№ 651 от 31.08.2011 г.</t>
  </si>
  <si>
    <t>№ 366 от 30.05.2011 г.</t>
  </si>
  <si>
    <t>№ 650 от 30.08.2011 г.</t>
  </si>
  <si>
    <t>№ 610 от 8.08.2011 г.</t>
  </si>
  <si>
    <t xml:space="preserve"> Потребление на енергийния сектор - общо</t>
  </si>
  <si>
    <t>Налично за крайно потребление - общо</t>
  </si>
  <si>
    <t xml:space="preserve"> Крайно неенергийно потребление - общо</t>
  </si>
  <si>
    <t xml:space="preserve"> Крайно енергийно потребление - общо</t>
  </si>
  <si>
    <t xml:space="preserve"> Крайно енергийно потребление - индустрия</t>
  </si>
  <si>
    <t xml:space="preserve"> Крайно енергийно потребление - транспорт</t>
  </si>
  <si>
    <t xml:space="preserve"> Крайно енергийно потребление - домакинства, търговия, обществени организации и други</t>
  </si>
  <si>
    <t>Приложение 7</t>
  </si>
  <si>
    <t>ОТПАДЪЦИ OT ДОБИВНА ПРОМИШЛЕНОСТ, ПРЕРАБОТВАЩАТА ПРИМИШЛЕНОСТ И СТРОИТЕЛСТВО</t>
  </si>
  <si>
    <t>Отпадъци</t>
  </si>
  <si>
    <t>тона</t>
  </si>
  <si>
    <t>Производство на кокс и рафинирани нефтопродукти</t>
  </si>
  <si>
    <t>Металургия и производство на метални изделия</t>
  </si>
  <si>
    <t>Производство и разпределение на електрическа и топлинна енергия и на газообразни горива</t>
  </si>
  <si>
    <t>Изкопни земни маси</t>
  </si>
  <si>
    <t>Минерални отпадъци</t>
  </si>
  <si>
    <t>Отпадъци от горивни процеси</t>
  </si>
  <si>
    <t xml:space="preserve">Предадени за оползотворяване  </t>
  </si>
  <si>
    <t>Предадени за обезвреждане</t>
  </si>
  <si>
    <t xml:space="preserve">Изнесени извън страната </t>
  </si>
  <si>
    <t>Oпасни отпадъци - общо образувани</t>
  </si>
  <si>
    <t>Замърсени почви</t>
  </si>
  <si>
    <t>Значителното увеличение на количеството на образуваните опасни отпадъци през 2008 г. се дължи на посочени за пръв път данни от отчетните единици.</t>
  </si>
  <si>
    <t>Приложение 8</t>
  </si>
  <si>
    <t>Приложение 9</t>
  </si>
  <si>
    <t>Наименование на позицията</t>
  </si>
  <si>
    <t>Код по КИД - 2008 г.</t>
  </si>
  <si>
    <t>ГОДИНА</t>
  </si>
  <si>
    <t>Среден списъчен брой на осигурените лица</t>
  </si>
  <si>
    <t>Отработени    човекочасове</t>
  </si>
  <si>
    <t xml:space="preserve">Трудови
злополуки
(бр.) </t>
  </si>
  <si>
    <t>в т.ч. трудови злополуки
предизвикали :
(бр.)</t>
  </si>
  <si>
    <t xml:space="preserve">Загубени
календарни дни от
 трудови злополуки
(бр.) </t>
  </si>
  <si>
    <t xml:space="preserve">П  О  К  А  З  А  Т  Е  Л  И </t>
  </si>
  <si>
    <t>Коефициент
на честота
Кч</t>
  </si>
  <si>
    <t xml:space="preserve">Коефициент
на тежест
Кт </t>
  </si>
  <si>
    <t>Индекс
на честота
Ич</t>
  </si>
  <si>
    <t>Индекс
на тежест
Ит</t>
  </si>
  <si>
    <t>смърт</t>
  </si>
  <si>
    <t xml:space="preserve">инвалидност </t>
  </si>
  <si>
    <t>по чл. 55,
ал. 1от КСО</t>
  </si>
  <si>
    <t>2</t>
  </si>
  <si>
    <t>ЗА СТРАНАТА</t>
  </si>
  <si>
    <t>Възобновени горива и отпадъци</t>
  </si>
  <si>
    <t>"Килик" ("Каспичан"), общ.Каспичан, обл.Шумен</t>
  </si>
  <si>
    <t>03.02.2005 г.</t>
  </si>
  <si>
    <t xml:space="preserve">№ 965 от 10.12.2004 г. </t>
  </si>
  <si>
    <t>"Българово-юг", гр.Българово, общ.Бургас, обл.Бургас</t>
  </si>
  <si>
    <t>15.02.2005 г.</t>
  </si>
  <si>
    <t>№ 46 от 25.01.2005 г.</t>
  </si>
  <si>
    <t>"Гложене" ("Нановица"), общ.Ябланица, обл.Ловеч</t>
  </si>
  <si>
    <t>28.02.2005 г.</t>
  </si>
  <si>
    <t>вулканити</t>
  </si>
  <si>
    <t>"Браница", общ.Камено, обл.Бургас</t>
  </si>
  <si>
    <t>15.03.2005 г.</t>
  </si>
  <si>
    <t>ПРЕКРАТЕНИ КОНЦЕСИИ ЗА ДОБИВ НА ПОДЗЕМНИ БОГАТСТВА - СКАЛООБЛИЦОВЪЧНИ МАТЕРИАЛИ</t>
  </si>
  <si>
    <t>D - 00037</t>
  </si>
  <si>
    <t>"Устрем - Тополовград"АД,  гр.Тополовград, обл.Хасково</t>
  </si>
  <si>
    <t>"Тюленово", общ.Шабла, обл.Добрич</t>
  </si>
  <si>
    <t>13.08.2003 г.</t>
  </si>
  <si>
    <t>"Каварна" - континенталния шелф на Черно море</t>
  </si>
  <si>
    <t>"Галата" - континенталния шелф на Черно море</t>
  </si>
  <si>
    <t>01.11.2010 г.</t>
  </si>
  <si>
    <t>№ 719 от 04.10.2010 г.</t>
  </si>
  <si>
    <t>№ 583 от 06.08.2010 г.</t>
  </si>
  <si>
    <t>"Калиакра" - континенталния шелф на Черно море</t>
  </si>
  <si>
    <t>№ 411 от 06.06.2001 г.</t>
  </si>
  <si>
    <t>"Бяла вода", обл.Плевен</t>
  </si>
  <si>
    <t>креда</t>
  </si>
  <si>
    <t>18.07.2001 г.</t>
  </si>
  <si>
    <t>06.08.1999 г.</t>
  </si>
  <si>
    <t>"Огнеупорни глини" АД</t>
  </si>
  <si>
    <t>№ 409 от 06.06.2001 г.</t>
  </si>
  <si>
    <t>огнеупорна пръст</t>
  </si>
  <si>
    <t>"Бръшляница", обл.Плевен</t>
  </si>
  <si>
    <t>№ 410 от 06.06.2001 г.</t>
  </si>
  <si>
    <t>огнеупорни глини</t>
  </si>
  <si>
    <t>"Чучура", обл.Плевен</t>
  </si>
  <si>
    <t>№ 412 от 06.06.2001 г.</t>
  </si>
  <si>
    <t>"Искър", обл.Плевен</t>
  </si>
  <si>
    <t>№ 408 от 06.06.2001 г.</t>
  </si>
  <si>
    <t>каменинови глини</t>
  </si>
  <si>
    <t>"Славяново", обл.Плевен</t>
  </si>
  <si>
    <t>№ 413 от 06.06.2001 г.</t>
  </si>
  <si>
    <t>"Сухият кладенец", обл.Плевен</t>
  </si>
  <si>
    <t>№ 207 от 12.04.2002 г.</t>
  </si>
  <si>
    <t>"Билкета", с.Славяново, общ.Харманли, обл.Хасково</t>
  </si>
  <si>
    <t>30.05.2002 г.</t>
  </si>
  <si>
    <t>олигомикти</t>
  </si>
  <si>
    <t>"Куза", обл.Хасково</t>
  </si>
  <si>
    <t>11.09.2002 г.</t>
  </si>
  <si>
    <t>№ 703 от 26.10.2001 г.
№ 51 от 31.01.2002 г.</t>
  </si>
  <si>
    <t>"Ведена" ООД, гр.Разград</t>
  </si>
  <si>
    <t>"Геонет" ООД, гр.София</t>
  </si>
  <si>
    <t>№ 471 от 10.07.2007 г.
№ 267 от 23.04.2008 г.</t>
  </si>
  <si>
    <t>„Източномаришки въглищен басейн”, общ.Раднево, обл.Стара Загора</t>
  </si>
  <si>
    <t>D - 00466</t>
  </si>
  <si>
    <t>№ 908 от 29.12.2006 г.</t>
  </si>
  <si>
    <t>„Бобовдолски въглищен басейн” – у-к „Рудината”,
общ.Бобов дол, обл.Кюстендил</t>
  </si>
  <si>
    <r>
      <t xml:space="preserve">„Геология и геотехника” ООД, гр. Ямбол </t>
    </r>
    <r>
      <rPr>
        <sz val="10"/>
        <rFont val="Times New Roman"/>
        <family val="1"/>
      </rPr>
      <t>(правоприемник на 
„Геоинвест инженеринг” АД)</t>
    </r>
  </si>
  <si>
    <t>D - 00538</t>
  </si>
  <si>
    <t>№ 372 от 21.05.2009 г.</t>
  </si>
  <si>
    <t xml:space="preserve">волфрамсъдържащи руди </t>
  </si>
  <si>
    <t>открит добив на лигнитни въглища; подземен добив на кафяви въглища</t>
  </si>
  <si>
    <t>Приложение 1.1</t>
  </si>
  <si>
    <t>Приложение 1.2</t>
  </si>
  <si>
    <t>Приложение 1.3</t>
  </si>
  <si>
    <t>Приложение 1.4</t>
  </si>
  <si>
    <t>Приложение 1.5</t>
  </si>
  <si>
    <t>Приложение 1.6</t>
  </si>
  <si>
    <t>Приложение 1.7</t>
  </si>
  <si>
    <t>МАКРОИКОНОМИЧЕСКИ ПОКАЗАТЕЛИ ЗА СЕКТОР  "ДОБИВНА ПРОМИШЛЕНОСТ"</t>
  </si>
  <si>
    <t xml:space="preserve">Евростат код </t>
  </si>
  <si>
    <t>Наименование</t>
  </si>
  <si>
    <t xml:space="preserve">Един. мярка </t>
  </si>
  <si>
    <t>БВП - текущи цени</t>
  </si>
  <si>
    <t>млн.лв</t>
  </si>
  <si>
    <t>БВП - цени по предх.година</t>
  </si>
  <si>
    <t>БВП - номинален ръст</t>
  </si>
  <si>
    <t>84/2011</t>
  </si>
  <si>
    <t>31.05.2012 г.</t>
  </si>
  <si>
    <t>81/1999</t>
  </si>
  <si>
    <t>31/1999</t>
  </si>
  <si>
    <t>16/2010</t>
  </si>
  <si>
    <t xml:space="preserve"> -</t>
  </si>
  <si>
    <t>88/1999</t>
  </si>
  <si>
    <t>природен газ и кондензат</t>
  </si>
  <si>
    <t>№ 960 от 16.11.2012 г.</t>
  </si>
  <si>
    <t>№ 399 от 12.06.2014 г.</t>
  </si>
  <si>
    <t>Койнаре, у-ци "Борован", "Враняк", "Девенци" и "Садовец", обл.Плевен</t>
  </si>
  <si>
    <t>Габрово</t>
  </si>
  <si>
    <t>Русе</t>
  </si>
  <si>
    <t>Разград</t>
  </si>
  <si>
    <t>Силистра</t>
  </si>
  <si>
    <t>Бургас</t>
  </si>
  <si>
    <t>Сливен</t>
  </si>
  <si>
    <t>Ямбол</t>
  </si>
  <si>
    <t>Стара Загора</t>
  </si>
  <si>
    <t>"Ливаде", с.Белица, общ.Ихтиман, обл.София</t>
  </si>
  <si>
    <t>вермикулитова суровина</t>
  </si>
  <si>
    <t>"Хеликс" ЕООД, гр.София</t>
  </si>
  <si>
    <t>16.02.2007 г.</t>
  </si>
  <si>
    <t>№ 88 от 17.02.1999 г.</t>
  </si>
  <si>
    <t>"Саръгьол - гнезда 17 и 20" ("Жълти дол"), обл.Шумен</t>
  </si>
  <si>
    <t>18.05.1999 г.</t>
  </si>
  <si>
    <t>талкошисти</t>
  </si>
  <si>
    <t>"Овчарово", с.Овчарово, общ.Харманли, обл.Хасково</t>
  </si>
  <si>
    <t>18.12.2006 г.</t>
  </si>
  <si>
    <t xml:space="preserve">№ 781 от 14.112006 г.
№ 157 от 23.03.2010 г. </t>
  </si>
  <si>
    <t>"Ватия Холдинг" - АД, гр.София</t>
  </si>
  <si>
    <t>№ 183 от 17.03.2004  г.</t>
  </si>
  <si>
    <t>"Канарата", с.Хлябово, общ.Тополовград, обл.Хасково</t>
  </si>
  <si>
    <t>№ 230 от 12.04.2007 г.</t>
  </si>
  <si>
    <t xml:space="preserve">"Бъчвата", общ. Плевен, обл.Плевен </t>
  </si>
  <si>
    <t>заглинени кварцови пясъци и каменинови глини</t>
  </si>
  <si>
    <t>23.05.2007 г.</t>
  </si>
  <si>
    <t>"СК - 13 Каменина" АД, гр.Плевен</t>
  </si>
  <si>
    <t>"Бистрица", с.Бистрица, обл.София</t>
  </si>
  <si>
    <t>№ 780 от 14.11.2006 г.
№ 157 от 23.03.2010 г.</t>
  </si>
  <si>
    <t>№ 782 от 14.11.2006 г.
№ 157 от 23.03.2010 г.</t>
  </si>
  <si>
    <t>кварц за кварцово стъкло</t>
  </si>
  <si>
    <t>"Сакар планина" - участък "Богомил", с.Богомил, общ.Харманли, обл.Хасково</t>
  </si>
  <si>
    <t>№ 783 от 14.11.2006 г.
№ 157 от 23.03.2010 г.</t>
  </si>
  <si>
    <t>пегматити</t>
  </si>
  <si>
    <t>"Стрелча - Мерата" - участъци "Мерата", "Мали Кладни дял" и "Банчовец", общ.Стрелча, обл.Пазарджик</t>
  </si>
  <si>
    <t>№ 751 от 01.11.2006 г.
№ 157 от 23.03.2010 г.</t>
  </si>
  <si>
    <t>"Гърмище", с.Чепърлинци, общ.Драгоман, обл.София</t>
  </si>
  <si>
    <t>"Столюва чукара", общ. Панагюрище, обл.Пазарджик</t>
  </si>
  <si>
    <t>"Перун 2008" ООД, гр.София</t>
  </si>
  <si>
    <t>№ 668 от 29.10.2008 г.
№ 159 от 14.03.2009 г.</t>
  </si>
  <si>
    <t>№ 730 от 18.11.2008 г.</t>
  </si>
  <si>
    <t>"Порой", общ.Поморие, обл.Бургас</t>
  </si>
  <si>
    <t>20.12.2008 г.</t>
  </si>
  <si>
    <t>"Мидан диби", общ. Момчилград, обл.Кърджали</t>
  </si>
  <si>
    <t>20.11.2008 г.</t>
  </si>
  <si>
    <t>"НЕК ГРУП" ЕООД, гр.Момчилград</t>
  </si>
  <si>
    <t>№ 667 от 29.10.2008 г.
№ 156 от 14.03.2009 г.</t>
  </si>
  <si>
    <t>№ 671 от 29.10.2008 г.</t>
  </si>
  <si>
    <t>"Студена", у-к "Хидрострой 2", общ.Перник, обл.Перник</t>
  </si>
  <si>
    <t>"Хидрострой" ООД, гр.Перник</t>
  </si>
  <si>
    <t>№ 405 от 24.06.2008 г.</t>
  </si>
  <si>
    <t>"Крива бара", Столична община, обл.София</t>
  </si>
  <si>
    <t xml:space="preserve">"Камъни и пясък" ООД, гр.София </t>
  </si>
  <si>
    <t>№ 670 от 29.10.2008 г.</t>
  </si>
  <si>
    <t>"Младжавица", Столична община, обл.София</t>
  </si>
  <si>
    <t xml:space="preserve">"Интерминерал" ООД, гр.София </t>
  </si>
  <si>
    <t>№ 870 от 30.12.2008 г.</t>
  </si>
  <si>
    <t>"Пери", с.Студена, общ.Перник, обл.Перник</t>
  </si>
  <si>
    <t>27.02.2009 г.</t>
  </si>
  <si>
    <t xml:space="preserve">"ЩРАБАГ" ЕАД, гр.София </t>
  </si>
  <si>
    <t>№ 28 от 20.01.2009 г.</t>
  </si>
  <si>
    <t>"Лори", с.Люляк, общ.Стара Загора, обл.Стара Загора</t>
  </si>
  <si>
    <t>06.03.2009 г.</t>
  </si>
  <si>
    <t xml:space="preserve">"БГС Груп" АД, 
гр.Стара Загора </t>
  </si>
  <si>
    <t>№ 781 от 10.12.2008 г.</t>
  </si>
  <si>
    <t>"Змиярника", с.Гарваново, общ.Хасково, обл.Хасково</t>
  </si>
  <si>
    <t>17.03.2009 г.</t>
  </si>
  <si>
    <t xml:space="preserve"> доломити и доломитни варовици</t>
  </si>
  <si>
    <t>"Студена", участък "Благоустройствени строежи", общ.Перник, обл.Перник</t>
  </si>
  <si>
    <t>31.03.1999 г.</t>
  </si>
  <si>
    <t xml:space="preserve">"Благоустройство - Студена" ООД, гр.София </t>
  </si>
  <si>
    <t>№ 493 от 29.07.2008 г.
№ 483 от 18.06.2009 г.</t>
  </si>
  <si>
    <t>№ 27 от 20.01.2009 г.</t>
  </si>
  <si>
    <t>"Гери", общ.Бобошево и общ.Кочериново, обл.Кюстендил</t>
  </si>
  <si>
    <t xml:space="preserve">"Ди Ви Би" ООД, София </t>
  </si>
  <si>
    <t>№ 68 от 04.02.2009 г.</t>
  </si>
  <si>
    <t>мрамори и мраморизирани варовици</t>
  </si>
  <si>
    <t>"Технострой-инженеринг 99" АД, гр. Ямбол</t>
  </si>
  <si>
    <t>44/2005</t>
  </si>
  <si>
    <t>58/2005</t>
  </si>
  <si>
    <t>12/2009</t>
  </si>
  <si>
    <t>"ПСФ Мостинженеринг" АД, гр. Ямбол</t>
  </si>
  <si>
    <t>90/2010</t>
  </si>
  <si>
    <t>01.09.2011 г.</t>
  </si>
  <si>
    <t>25.11.1999 г.</t>
  </si>
  <si>
    <t>"Ресурси" ЕООД, гр. Бургас</t>
  </si>
  <si>
    <t>24.04.2012 г.</t>
  </si>
  <si>
    <t>07.6.2012 г.</t>
  </si>
  <si>
    <t>"Инертни материали - Ямбол" АД, гр. Ямбол</t>
  </si>
  <si>
    <t>26.7.2012 г.</t>
  </si>
  <si>
    <t>28/2012</t>
  </si>
  <si>
    <t>"Варовик - комерс" ЕООД, с. Каменец, обл. Ямбол</t>
  </si>
  <si>
    <t>29.12.2005 г.</t>
  </si>
  <si>
    <t>D - 00553</t>
  </si>
  <si>
    <t>"Антимово II", с.Кутово, общ.Видин, обл.Видин</t>
  </si>
  <si>
    <t>D - 00551</t>
  </si>
  <si>
    <t>D - 00554</t>
  </si>
  <si>
    <t>"Караново", с.Караново, общ.Айтос, обл.Бургас</t>
  </si>
  <si>
    <t>D - 00555</t>
  </si>
  <si>
    <t>"Венелин", с.Венелин, общ.Долни чифлик, обл.Варна</t>
  </si>
  <si>
    <t>"Маница", с.Виница, общ.Варна</t>
  </si>
  <si>
    <t>D - 00556</t>
  </si>
  <si>
    <t>"Райново", гр.Симеоновград, общ.Симеоновград, обл.Хасково</t>
  </si>
  <si>
    <t>D - 00558</t>
  </si>
  <si>
    <t>"Стряма 2", с.Ръжево Конаре, общ.Калояново, обл.Пловдив</t>
  </si>
  <si>
    <t>"Маркова могила -център", с.Девенци и с.Чомаковци, общ.Червен бряг, обл.Плевен</t>
  </si>
  <si>
    <t>D - 00559</t>
  </si>
  <si>
    <r>
      <t>**</t>
    </r>
    <r>
      <rPr>
        <sz val="10"/>
        <rFont val="Times New Roman"/>
        <family val="1"/>
      </rPr>
      <t xml:space="preserve"> Няма добив, предстои проект за напускане.</t>
    </r>
  </si>
  <si>
    <t>ПРЕКРАТЕНИ КОНЦЕСИИ ЗА ДОБИВ НА ПОДЗЕМНИ БОГАТСТВА - СТРОИТЕКНИ МАТЕРИАЛИ</t>
  </si>
  <si>
    <t>45/2003</t>
  </si>
  <si>
    <t>Приложение 3</t>
  </si>
  <si>
    <t>ЧУЖДЕСТРАННИ ПРЕКИ ИНВЕСТИЦИИ В ПРЕДПРИЯТИЯТА ОТ НЕФИНАНСОВИЯ СЕКТОР ПО ИКОНОМИЧЕСКИ ДЕЙНОСТИ (НСИ - А31)</t>
  </si>
  <si>
    <t>"Пътстройинженеринг" АД,  гр. Враца</t>
  </si>
  <si>
    <t>№ 724 от 09.09.2004 г.</t>
  </si>
  <si>
    <t>"Светлен", с.Светлен, общ.Попово, обл.Търговище</t>
  </si>
  <si>
    <t>02.08.1999 г.</t>
  </si>
  <si>
    <t>№ 726 от 09.09.2004 г.</t>
  </si>
  <si>
    <t>"Гергьовица", с.Капитан Димитриево, общ.Пещера, обл.Пазарджик</t>
  </si>
  <si>
    <t>01.11.2004 г.</t>
  </si>
  <si>
    <t>27.12.1996 г.</t>
  </si>
  <si>
    <t>"Пътища" АД, гр.Пазарджик</t>
  </si>
  <si>
    <t>15.08.1999 г.</t>
  </si>
  <si>
    <t>"СМА Минерал Вародобив" ЕООД , гр.Шумен</t>
  </si>
  <si>
    <t>№ 729 от 09.09.2004 г.
изм. 03.12.2009 г.</t>
  </si>
  <si>
    <t>"Гранитово", общ.Белоградчик, обл.Видин</t>
  </si>
  <si>
    <t>"Троица", общ.Велики Преслав, обл.Шумен</t>
  </si>
  <si>
    <t>04.11.2004 г.</t>
  </si>
  <si>
    <t>19.01.2000 г.</t>
  </si>
  <si>
    <t>"Видапътстрой" ЕАД, гр.София</t>
  </si>
  <si>
    <t>№ 769 от 28.09.2004 г.
изм. 26.11.2010 г.</t>
  </si>
  <si>
    <t xml:space="preserve">№ 774 от 28.09.2004 г. </t>
  </si>
  <si>
    <t>"Акациите-1", общ.Бургас, обл.Бургас</t>
  </si>
  <si>
    <t>10.11.2004 г.</t>
  </si>
  <si>
    <t>"Вая-96" ООД, гр.Бургас</t>
  </si>
  <si>
    <t>№ 775 от 28.09.2004 г.</t>
  </si>
  <si>
    <t>"Чернево", общ.Суворово, обл.Варна</t>
  </si>
  <si>
    <t>"Люляка" EАД, гр.Девня</t>
  </si>
  <si>
    <t>Видин</t>
  </si>
  <si>
    <t>Враца</t>
  </si>
  <si>
    <t>Монтана</t>
  </si>
  <si>
    <t>Ловеч</t>
  </si>
  <si>
    <t>Плевен</t>
  </si>
  <si>
    <t>Варна</t>
  </si>
  <si>
    <t>Добрич</t>
  </si>
  <si>
    <t>Търговище</t>
  </si>
  <si>
    <t>Шумен</t>
  </si>
  <si>
    <t>Велико Търново</t>
  </si>
  <si>
    <t>18.12.2003 г.</t>
  </si>
  <si>
    <t>„Въглища Перник” ООД</t>
  </si>
  <si>
    <t>„Мина Черно море-Бургас” ЕАД</t>
  </si>
  <si>
    <t>17.01.2003 г.</t>
  </si>
  <si>
    <t>„Рекоул” АД</t>
  </si>
  <si>
    <t>12.05.2005 г.</t>
  </si>
  <si>
    <t>19.02.2007 г.</t>
  </si>
  <si>
    <t>КОНЦЕСИИ ЗА ДОБИВ НА ПОДЗЕМНИ БОГАТСТВА - МИННИ ОТПАДЪЦИ</t>
  </si>
  <si>
    <t>(подземни богатства по чл. 2, ал. 1, т. 7 от Закона за подземните богатства)</t>
  </si>
  <si>
    <t>№ 18 от 18.01.2000 г.</t>
  </si>
  <si>
    <t>"Дурхана-глини", обл.Хасково</t>
  </si>
  <si>
    <t>"Вулкан" АД, гр.Димитровград</t>
  </si>
  <si>
    <t>глини</t>
  </si>
  <si>
    <t>23.02.2000 г.</t>
  </si>
  <si>
    <t>03.02.2000 г.</t>
  </si>
  <si>
    <t>№ 17 от 18.01.2000 г.</t>
  </si>
  <si>
    <t>"Дурхана", обл.Хасково</t>
  </si>
  <si>
    <t>варовици, мергели и глини</t>
  </si>
  <si>
    <t>"Юрт-дере", обл.Хасково</t>
  </si>
  <si>
    <t>03.02.1999 г.</t>
  </si>
  <si>
    <t>Мини „Марица изток” ЕАД</t>
  </si>
  <si>
    <t>Вид и начин на разработване на полезното богатство</t>
  </si>
  <si>
    <t>Решение на МС
(№ дата)</t>
  </si>
  <si>
    <t>Открит и подземен добив на кафяви въглища</t>
  </si>
  <si>
    <t xml:space="preserve">№ 243 от 23.04.2002 г.
№ 804 от 05.12.2007 г. </t>
  </si>
  <si>
    <t>"Нови силози", обл.София</t>
  </si>
  <si>
    <t xml:space="preserve">"Гола могила", с.Златна ливада, общ.Чирпан, обл.Стара Загора </t>
  </si>
  <si>
    <t>20.05.2004 г.</t>
  </si>
  <si>
    <t>ET"Будоров ММ-Михаил Будордов", гр.София</t>
  </si>
  <si>
    <t xml:space="preserve">№ 406 от 17.05.2004 г. </t>
  </si>
  <si>
    <t>баритна суровина</t>
  </si>
  <si>
    <t>"Тевни дол", с.Лешко, общ.Благоевград, обл.Благоевград</t>
  </si>
  <si>
    <t>"Илинденски мрамор" ООД , гр.Сандански</t>
  </si>
  <si>
    <t>24.06.2004 г.</t>
  </si>
  <si>
    <t>№ 678 от 24.08.2004  г.</t>
  </si>
  <si>
    <t>кварц-фелдшпатова суровина</t>
  </si>
  <si>
    <t>"Канарата-запад", с.Хлябово, общ.Тополовград, обл.Хасково</t>
  </si>
  <si>
    <t>04.10.2004 г.</t>
  </si>
  <si>
    <t>№ 799 от 06.10.2004 г.</t>
  </si>
  <si>
    <t>"Пърженака", гр.Димитровград, обл.Хасково</t>
  </si>
  <si>
    <t>26.10.2004 г.</t>
  </si>
  <si>
    <t>"Традекс"АД, гр.Димитровград</t>
  </si>
  <si>
    <t>№ 54 от 27.01.2004 г.</t>
  </si>
  <si>
    <t>кварц-фелдшпатови пясъчници</t>
  </si>
  <si>
    <t>"Малко Търново", участък "Бърдце", общ.Малко Търново, обл.Бургас</t>
  </si>
  <si>
    <t>29.11.2004 г.</t>
  </si>
  <si>
    <t>"Странджа майнинг" ЕАД, гр.Исперих</t>
  </si>
  <si>
    <t>№ 918 от 23.11.2004 г.</t>
  </si>
  <si>
    <t>кремъчни конкреции</t>
  </si>
  <si>
    <t>"Христово", с.Кривня, общ.Ветово, обл.Русе</t>
  </si>
  <si>
    <t>21.12.2004 г.</t>
  </si>
  <si>
    <t>ЕТ "Стамболийски 1995 - Христо Иванов", с.Дряновец, обл.Разград</t>
  </si>
  <si>
    <t xml:space="preserve">№ 951 от 13.12.2005 г. </t>
  </si>
  <si>
    <t>пегматитова суровина; пегматити; доломити; вермикулитова суровина</t>
  </si>
  <si>
    <t>бентонитови глини; клиноптилолитови зеолити; перлит; туфити</t>
  </si>
  <si>
    <t>Концесионери: 4   Концесии: 5</t>
  </si>
  <si>
    <t>Концесионери: 2   Концесии: 3</t>
  </si>
  <si>
    <t>пегматоидни левкократни гранити; флуоритова суровина</t>
  </si>
  <si>
    <t>кварцови пясъци; каменна сол; варовици</t>
  </si>
  <si>
    <t>Концесионери: 4   Концесии: 6</t>
  </si>
  <si>
    <t>вермикулитова суровина; огнеуповна пръст; огнеупорни глини; кварцови пясъци; варовици</t>
  </si>
  <si>
    <t>"Хидроекопим-1", Столична община, област София</t>
  </si>
  <si>
    <t>07.12.2005 г.</t>
  </si>
  <si>
    <t>"Хидроекопим" ООД, гр.София</t>
  </si>
  <si>
    <t>№ 243 от 05.04.2005 г.</t>
  </si>
  <si>
    <t>"Идринизица", общ.Самоков, обл.София</t>
  </si>
  <si>
    <t>"Елити" ООД, гр.Самоков</t>
  </si>
  <si>
    <t>№ 517 от 30.05.2005 г.</t>
  </si>
  <si>
    <t>"Дренака запад", у-к "Запад", общ.Девня, обл.Варна</t>
  </si>
  <si>
    <t>07.07.2005 г.</t>
  </si>
  <si>
    <t>"Асара", общ.Кирково, обл.Кърджали</t>
  </si>
  <si>
    <t>андезити</t>
  </si>
  <si>
    <t>27.05.2005 г.</t>
  </si>
  <si>
    <t>№ 312 от 26.04.2005 г.
изм. 02.12.2010 г.</t>
  </si>
  <si>
    <t>"Козарево", общ."Тунджа", обл.Ямбол</t>
  </si>
  <si>
    <t>22.08.2006 г.</t>
  </si>
  <si>
    <t>14.02.2002 г.</t>
  </si>
  <si>
    <t>"Инмат Козарево" ООД , с.Козарево, обл.Ямбол</t>
  </si>
  <si>
    <t>№ 919 от 23.11.2004 г.
изм. 28.05.2009 г.</t>
  </si>
  <si>
    <t>D - 00357</t>
  </si>
  <si>
    <t>D - 00358</t>
  </si>
  <si>
    <t>D - 00359</t>
  </si>
  <si>
    <t>D - 00360</t>
  </si>
  <si>
    <t>D - 00361</t>
  </si>
  <si>
    <t>"Геотранс - инженеринг" ООД, гр.Нова Загора</t>
  </si>
  <si>
    <t>№ 859 от 21.12.2007 г.</t>
  </si>
  <si>
    <t>"Забел", общ.Трън, обл.Перник</t>
  </si>
  <si>
    <t xml:space="preserve">"Тера" ООД, гр.Перник </t>
  </si>
  <si>
    <t>24.01.2008 г.</t>
  </si>
  <si>
    <t>глини за строителна керамика</t>
  </si>
  <si>
    <t>№ 14 от 15.01.2008 г.</t>
  </si>
  <si>
    <t xml:space="preserve">"ИНМАТ" ООД, гр.Раднево </t>
  </si>
  <si>
    <t>"Ливадата", общ.Стара Загора, обл.Стара Загора</t>
  </si>
  <si>
    <t>14.02.2008 г.</t>
  </si>
  <si>
    <t>№ 74 от 13.02.2008 г.</t>
  </si>
  <si>
    <t>речна баластра 
(пясък и чакъл)</t>
  </si>
  <si>
    <t>"Ръжена", общ.Казанлък, обл.Стара Загора.</t>
  </si>
  <si>
    <t xml:space="preserve">"Екогеоресурс" ООД, 
гр.Стара Загора </t>
  </si>
  <si>
    <t>"Гранитово", общ.Елхово, обл.Ямбол</t>
  </si>
  <si>
    <t>гранитоиди</t>
  </si>
  <si>
    <t>Основание за прекратяване на концесионния договор</t>
  </si>
  <si>
    <t>неизпълнение от страна на концесионера на основни задължения по договора</t>
  </si>
  <si>
    <t>"Каменна река", общ. Тополовград, обл.Хасково</t>
  </si>
  <si>
    <t>D - 00039</t>
  </si>
  <si>
    <t>D - 00040</t>
  </si>
  <si>
    <t>"Мрамор", с.Мрамор, общ.Тополовград, обл.Хасково</t>
  </si>
  <si>
    <t>D - 00041</t>
  </si>
  <si>
    <t>"Хумни дол”, у-ци „Северен“ и „Южен“, с.Доброселец, общ,Тополовград, обл.Хасково</t>
  </si>
  <si>
    <t>D - 00574</t>
  </si>
  <si>
    <t>"Коневец", с.Коневец, общ.Тунджа, обл.Ямбол</t>
  </si>
  <si>
    <t>D - 00578</t>
  </si>
  <si>
    <t>"Исенов връх", с.Ракитница, общ.Стара Загора, обл.Стара Загора</t>
  </si>
  <si>
    <t>D - 00579</t>
  </si>
  <si>
    <t>"Каята", с.Вратица и с.Винарско, общ.Камено, обл.Бургас</t>
  </si>
  <si>
    <t>"Инертика" АД, гр.София</t>
  </si>
  <si>
    <t>D - 00580</t>
  </si>
  <si>
    <t>"Горен близнак", с.Близнаци, общ.Аврен, обл.Варна</t>
  </si>
  <si>
    <t>D - 00581</t>
  </si>
  <si>
    <t>"Ерден 2", с.Ерден и гр.Бойчиновци, общ. Бойчиновци, обл.Монтана</t>
  </si>
  <si>
    <t>D - 00582</t>
  </si>
  <si>
    <t>"Горен близнак 2", с.Близнаци, общ.Аврен, обл.Варна</t>
  </si>
  <si>
    <t>D - 00585</t>
  </si>
  <si>
    <t>"Каваклъка", у-ци "Каваклъка-изток" и "Каваклъка-запад", с.Боянци и гр. Асеновград, общ.Асеновград, обл.Пловдив</t>
  </si>
  <si>
    <t>1/2006</t>
  </si>
  <si>
    <t>37/2008</t>
  </si>
  <si>
    <t>"Вълково", у-к "Зад дигата", с.Вълково, общ.Сандански, обл.Благоевград</t>
  </si>
  <si>
    <t>"Дядово Бомил", общ.Нова Загора, обл.Сливен</t>
  </si>
  <si>
    <t>СД "Бомил - Ресурси, Калчев &amp;", гр.Бургас</t>
  </si>
  <si>
    <t>№ 274 от 08.04.2004 г.
№ 804 от 05.12.2007 г.</t>
  </si>
  <si>
    <t>№ 567 от 07.07.2004 г.</t>
  </si>
  <si>
    <t>D - 00281</t>
  </si>
  <si>
    <t>D - 00282</t>
  </si>
  <si>
    <t>D - 00285</t>
  </si>
  <si>
    <t>D - 00286</t>
  </si>
  <si>
    <t>D - 00287</t>
  </si>
  <si>
    <t>D - 00288</t>
  </si>
  <si>
    <t>D - 00291</t>
  </si>
  <si>
    <t>D - 00293</t>
  </si>
  <si>
    <t>D - 00297</t>
  </si>
  <si>
    <t>D - 00300</t>
  </si>
  <si>
    <t>D - 00301</t>
  </si>
  <si>
    <t>D - 00329</t>
  </si>
  <si>
    <t>D - 00331</t>
  </si>
  <si>
    <t>D - 00332</t>
  </si>
  <si>
    <t>D - 00333</t>
  </si>
  <si>
    <t>D - 00334</t>
  </si>
  <si>
    <t>D - 00335</t>
  </si>
  <si>
    <t>D - 00337</t>
  </si>
  <si>
    <t>D - 00338</t>
  </si>
  <si>
    <t>D - 00339</t>
  </si>
  <si>
    <t>D - 00340</t>
  </si>
  <si>
    <t>D - 00342</t>
  </si>
  <si>
    <t>D - 00343</t>
  </si>
  <si>
    <t>D - 00344</t>
  </si>
  <si>
    <t>D - 00345</t>
  </si>
  <si>
    <t>D - 00347</t>
  </si>
  <si>
    <t>D - 00348</t>
  </si>
  <si>
    <t>D - 00349</t>
  </si>
  <si>
    <t>D - 00350</t>
  </si>
  <si>
    <t>"Българево", общ.Каварна, обл.Добрич</t>
  </si>
  <si>
    <t xml:space="preserve">№ 524 от 23.06.2004 г. </t>
  </si>
  <si>
    <t>O - 00715</t>
  </si>
  <si>
    <t>Кариян ЕООД , гр.Средец</t>
  </si>
  <si>
    <t xml:space="preserve">"Грудово", гр.Средец, общ.Средец, обл.Бургас </t>
  </si>
  <si>
    <t>07.06.2001 г.</t>
  </si>
  <si>
    <t>O - 00466</t>
  </si>
  <si>
    <t>м."Лозята", с.Калиманци, общ.Суворово, обл.Варна</t>
  </si>
  <si>
    <t>O - 00564</t>
  </si>
  <si>
    <t>м."Канара буаз", с.Горно Абланово, общ.Борово, обл.Русе</t>
  </si>
  <si>
    <t>"Скални материали" АД, гр.Русе</t>
  </si>
  <si>
    <t xml:space="preserve">"Скала", с.Ценово, обл.Русе
</t>
  </si>
  <si>
    <t>ломен камък</t>
  </si>
  <si>
    <t>O - 00600</t>
  </si>
  <si>
    <t>O - 00792</t>
  </si>
  <si>
    <t>варовици за ХТС и трошено-каменни фракции за ПС</t>
  </si>
  <si>
    <t>"Кору чобан", с.Чуковец, общ.Алфатар, обл.Силистра</t>
  </si>
  <si>
    <t>"Илинденски мрамор " ООД, гр. София</t>
  </si>
  <si>
    <t>“Гейт” ЕООД, с. Гърмен</t>
  </si>
  <si>
    <t>09.02.2012 г.</t>
  </si>
  <si>
    <t>04/1999</t>
  </si>
  <si>
    <t>ЕТ "Румен Арнаудов - Айтен Арнаудова", с. Плетена, обл. Благоевград</t>
  </si>
  <si>
    <t>57/2012</t>
  </si>
  <si>
    <t>87/2004</t>
  </si>
  <si>
    <t>89/2004 8/2005</t>
  </si>
  <si>
    <t>57/2008</t>
  </si>
  <si>
    <t>71/2008</t>
  </si>
  <si>
    <t>33/2011</t>
  </si>
  <si>
    <t>30.05.2011 г.</t>
  </si>
  <si>
    <t>35/2012</t>
  </si>
  <si>
    <t>04.07.2012 г.</t>
  </si>
  <si>
    <t>"Добив и експлоатация АБО" ООД, гр. Пловдив</t>
  </si>
  <si>
    <t>28.02.2013 г.</t>
  </si>
  <si>
    <t>"Трафик инженеринг" ЕООД, гр. София</t>
  </si>
  <si>
    <t>103/2012</t>
  </si>
  <si>
    <t>"Геотехмин" ООД, гр. София</t>
  </si>
  <si>
    <t>107/2013</t>
  </si>
  <si>
    <t>14.04.2014 г.</t>
  </si>
  <si>
    <t>117/1997</t>
  </si>
  <si>
    <t>36/2003</t>
  </si>
  <si>
    <t>36/2004</t>
  </si>
  <si>
    <t>94/2004</t>
  </si>
  <si>
    <t>83/2004</t>
  </si>
  <si>
    <t>56/2001 48/2007</t>
  </si>
  <si>
    <t>70/2007</t>
  </si>
  <si>
    <t>"Пътстрой - Габрово" АД, гр. Габрово</t>
  </si>
  <si>
    <t>01.06.2011 г.</t>
  </si>
  <si>
    <t>07.07.2006 г.</t>
  </si>
  <si>
    <t>38/2005</t>
  </si>
  <si>
    <t>"Пътстройинженеринг" АД, гр. Кърджали</t>
  </si>
  <si>
    <t>25/2007</t>
  </si>
  <si>
    <t>72/2007</t>
  </si>
  <si>
    <t>31.08.2011 г.</t>
  </si>
  <si>
    <t>13.10.2011 г.</t>
  </si>
  <si>
    <t>"Ралекс" ООД, гр. Пловдив</t>
  </si>
  <si>
    <t>11.11.2011 г.</t>
  </si>
  <si>
    <t>04.01.2012 г.</t>
  </si>
  <si>
    <t>77/2011</t>
  </si>
  <si>
    <t>27.01.2012 г.</t>
  </si>
  <si>
    <t>15.02.2012 г.</t>
  </si>
  <si>
    <t>22/2012</t>
  </si>
  <si>
    <t>30.5.2012 г.</t>
  </si>
  <si>
    <t>06.06.2012 г.</t>
  </si>
  <si>
    <t>07.06.2012 г.</t>
  </si>
  <si>
    <t>28.12.2012 г.</t>
  </si>
  <si>
    <t>28/2013</t>
  </si>
  <si>
    <t>21.03.2014 г.</t>
  </si>
  <si>
    <t>D - 00552</t>
  </si>
  <si>
    <t>"Воденицата 4", с. Кобилино, общ.Ивайловград, обл.Хасково</t>
  </si>
  <si>
    <t>D - 00557</t>
  </si>
  <si>
    <t>"Мелницата", с.Железино, общ.Ивайловград, обл.Хасково</t>
  </si>
  <si>
    <t>D - 00569</t>
  </si>
  <si>
    <t>"Чатала", с.Железино, общ.Ивайловград, обл.Хасково</t>
  </si>
  <si>
    <t>"Фриго - Макс" ЕООД, гр.София</t>
  </si>
  <si>
    <t xml:space="preserve"> "Гнайс Кобилино" ООД, с.Кобилино, общ.Ивайловград</t>
  </si>
  <si>
    <t>D - 00577</t>
  </si>
  <si>
    <t>"Кремона" - у-ци "Кален" и "Кален-изток", с.Кален, общ.Мездра, обл.Враца</t>
  </si>
  <si>
    <t>D - 00588</t>
  </si>
  <si>
    <t>"Зидина", с.Средно градище, общ.Чирпан, обл.Стара Загора</t>
  </si>
  <si>
    <t>"Хард Стоун" ЕООД, с.Чешнигирово, обл.Пловдив</t>
  </si>
  <si>
    <t>D - 00589</t>
  </si>
  <si>
    <t>“Армира-7” ООД, гр.Ивайловград</t>
  </si>
  <si>
    <t>"Габъра - север", с.Черни рид, общ.Ивайловград, обл.Хасково</t>
  </si>
  <si>
    <t>D - 00592</t>
  </si>
  <si>
    <t>ЕТ "Орхан Селимов – 77 – Еуро гнайс – Иван Димов", гр.София</t>
  </si>
  <si>
    <t>"Чешмата", с.Черни рид и с.Кобилино, общ.Ивайлов-град, обл.Хасково</t>
  </si>
  <si>
    <t>D - 00593</t>
  </si>
  <si>
    <t>"Наредените камъни", с.Камилски дол, общ.Ивайловград, обл.Хасково</t>
  </si>
  <si>
    <t>двуслюдени гранитогнайси до гнайсошисти, ивичести амфиболити и тънкопластови мрамори</t>
  </si>
  <si>
    <t>D - 00594</t>
  </si>
  <si>
    <t>"Дионисо - 2", с.Горна Кремена, общ.Мездра, обл.Враца</t>
  </si>
  <si>
    <t>06.03.2012 г.</t>
  </si>
  <si>
    <t>D - 00595</t>
  </si>
  <si>
    <t>"Дядовци", с.Дядовци, общ.Ардино, обл.Кърджали</t>
  </si>
  <si>
    <t>D - 00597</t>
  </si>
  <si>
    <t>ЕТ "Наско - 87 Красимир Аргиров", гр.Маджарово</t>
  </si>
  <si>
    <t>"Ачера" ООД, гр.София</t>
  </si>
  <si>
    <t>ЕТ "Никея - Атанас Семерджиев", гр.Кърджали</t>
  </si>
  <si>
    <t>19.08.2011 г.</t>
  </si>
  <si>
    <t>06.11.2011 г.</t>
  </si>
  <si>
    <t>09.01.2012 г.</t>
  </si>
  <si>
    <t>69/2012</t>
  </si>
  <si>
    <t>08.11.2012 г.</t>
  </si>
  <si>
    <t>"Пътстрой 99" ООД, гр. Монтана</t>
  </si>
  <si>
    <t>10.12.2012 г.</t>
  </si>
  <si>
    <t>"Макстрой" ЕООД, гр. Монтана</t>
  </si>
  <si>
    <t>11.02.2013 г.</t>
  </si>
  <si>
    <t>"Фили" ООД, гр. Плевен</t>
  </si>
  <si>
    <t>14/2013</t>
  </si>
  <si>
    <t>13.05.2013 г.</t>
  </si>
  <si>
    <t>34/2001</t>
  </si>
  <si>
    <t>32/2001</t>
  </si>
  <si>
    <t>70/2003 71/2008</t>
  </si>
  <si>
    <t>86/2004</t>
  </si>
  <si>
    <t>85/2007</t>
  </si>
  <si>
    <t>"Кариери Пазарджик" ООД, гр. Пазарджик</t>
  </si>
  <si>
    <t>105/2011</t>
  </si>
  <si>
    <t>17.04.2012 г.</t>
  </si>
  <si>
    <t>51/2008</t>
  </si>
  <si>
    <t>ET "Илия Кинов", с. Росен, област Пазарджик</t>
  </si>
  <si>
    <t>28.01.2013 г.</t>
  </si>
  <si>
    <t>11.04.2013 г.</t>
  </si>
  <si>
    <t>"Пътно поддържане Пещера" ЕООД, гр. Пещера</t>
  </si>
  <si>
    <t xml:space="preserve">46/2014 </t>
  </si>
  <si>
    <t>04.09.2014 г.</t>
  </si>
  <si>
    <t>№ 335 от 14.05.2001 г.</t>
  </si>
  <si>
    <t xml:space="preserve"> "Каровча", обл.Варна</t>
  </si>
  <si>
    <t>№ 392 от 01.06.2001 г.</t>
  </si>
  <si>
    <t>"Кралево", обл.Търговище</t>
  </si>
  <si>
    <t>№ 334 от 14.05.2001 г.</t>
  </si>
  <si>
    <t>"Върли бряг", обл.Бургас</t>
  </si>
  <si>
    <t>андезитобазалти</t>
  </si>
  <si>
    <t>"Долни Богров", участък "Сметището", обл.София</t>
  </si>
  <si>
    <t>№ 470 от 25.06.2001 г.
№ 804 от 05.12.2007 г.</t>
  </si>
  <si>
    <t>№ 684 от 16.10.2001 г.</t>
  </si>
  <si>
    <t xml:space="preserve"> "Галата", обл.Бургас</t>
  </si>
  <si>
    <t>базалтови туфи</t>
  </si>
  <si>
    <t>26.11.2001 г.</t>
  </si>
  <si>
    <t>10.08.2000 г.</t>
  </si>
  <si>
    <t xml:space="preserve">"Андезит" ООД, гр.Бургас </t>
  </si>
  <si>
    <t>№ 686 от 16.10.2001 г.</t>
  </si>
  <si>
    <t>"Новоселци III", обл.Бургас</t>
  </si>
  <si>
    <t>№ 685 от 16.10.2001 г.</t>
  </si>
  <si>
    <t>"Горно Езерово", обл.Бургас</t>
  </si>
  <si>
    <t>андезити и андезитови туфи</t>
  </si>
  <si>
    <t>"Чепинци", обл.София</t>
  </si>
  <si>
    <t>07.06.2002 г.</t>
  </si>
  <si>
    <t>"Караджова чешма", гр. Димитровград, обл.Хасково</t>
  </si>
  <si>
    <t>"Стройко-2000" ЕООД, гр.София</t>
  </si>
  <si>
    <t>D - 00650</t>
  </si>
  <si>
    <t>"Върбовка", с.Върбовка, общ.Павликени, обл.Велико Търново</t>
  </si>
  <si>
    <t>D - 00669</t>
  </si>
  <si>
    <t>"Миал", оБщ.Мирково, обл.Софийска</t>
  </si>
  <si>
    <t>"Брусарци" - участъци "Смирненскки" и "Брусарци", общ.Брусарци, пбл.Монтана</t>
  </si>
  <si>
    <t>12.02.2014 г.</t>
  </si>
  <si>
    <t>"Селски ниви", с. Здравец, общ.Аврен, обл.Варна</t>
  </si>
  <si>
    <t>"Чеирите", с.Здравец, общ.Аврен, обл.Варна</t>
  </si>
  <si>
    <t>№ 577 от 02.07.2009 г.</t>
  </si>
  <si>
    <t>№ 46 от 02.02.2010 г.</t>
  </si>
  <si>
    <t>№ 770 от 25.10.2010 г.</t>
  </si>
  <si>
    <t>№ 482 от 27.06.2011 г.</t>
  </si>
  <si>
    <t>№ 766 от 22.10.2010 г.</t>
  </si>
  <si>
    <t>№ 286 от 10.05.2011 г.</t>
  </si>
  <si>
    <t>№ 694 от 17.11.2011 г.</t>
  </si>
  <si>
    <t>№ 623 от 20.07.2009 г.</t>
  </si>
  <si>
    <t>"Крумово", с.Крумово, общ.Кочериново и
с.Бучино, общ.Благоевград, обл.Благоевград</t>
  </si>
  <si>
    <t>Концесионери: 11   Концесии: 16</t>
  </si>
  <si>
    <t>Концесионери: 6   Концесии: 6</t>
  </si>
  <si>
    <t>Концесионери: 12   Концесии: 14</t>
  </si>
  <si>
    <t>Концесионери: 18   Концесии: 26</t>
  </si>
  <si>
    <t>"Чайкъра”, кв.Долни Воден, гр.Асеновград, обл.Пловдив</t>
  </si>
  <si>
    <t>Концесионери: 13   Концесии: 18</t>
  </si>
  <si>
    <t>D - 00675</t>
  </si>
  <si>
    <t>"Искър - Запад", общ.Кнежа и общ.Искър, обл.Плевен</t>
  </si>
  <si>
    <t>15.08.2014 г.</t>
  </si>
  <si>
    <t>D - 00651</t>
  </si>
  <si>
    <t>D - 00654</t>
  </si>
  <si>
    <t>Концесионери: 2   Концесии: 8</t>
  </si>
  <si>
    <t>Концесионери: 2  Концесии: 11</t>
  </si>
  <si>
    <t>Концесионери: 3  Концесии: 18</t>
  </si>
  <si>
    <t>"Бекастрой" ЕАД, гр. Самоков</t>
  </si>
  <si>
    <t>11.04.2007 г.</t>
  </si>
  <si>
    <t>28.07.2003 г.</t>
  </si>
  <si>
    <t>"Стил" АД, гр. Долна баня</t>
  </si>
  <si>
    <t>19.07.2007 г.</t>
  </si>
  <si>
    <t>"Пролайф технолоджи" ЕООД, гр. София</t>
  </si>
  <si>
    <t>26.09.2007 г.</t>
  </si>
  <si>
    <t>вар</t>
  </si>
  <si>
    <t>глини и пясъци</t>
  </si>
  <si>
    <t>с.Искрец, общ.Своге, Софийска област</t>
  </si>
  <si>
    <t>"Балканагросервиз" ООД, гр.Своге</t>
  </si>
  <si>
    <t>O - 00441</t>
  </si>
  <si>
    <t>O - 00689</t>
  </si>
  <si>
    <t>"Четалец", с.Мирково, общ.Мирково, Софиска област</t>
  </si>
  <si>
    <t>O - К8</t>
  </si>
  <si>
    <t>с.Долна баня, общ.Долна баня, Софийска област</t>
  </si>
  <si>
    <t>O - К1</t>
  </si>
  <si>
    <t>"До реката", общ.Самоков, Софийска област</t>
  </si>
  <si>
    <t>Съгласно договор за приватизация</t>
  </si>
  <si>
    <t>№ 1222 от 25.07.2002 г. по Протокол № 41 на Общ.съвет - Самоков</t>
  </si>
  <si>
    <t>№ 52 от 19.07.1999 г. по Протокол № 5 на Общ.съвет - Долна баня</t>
  </si>
  <si>
    <t>№ 91 от 30.05.2003 г. на Общ.съвет - Своге</t>
  </si>
  <si>
    <t>№ 310 от 25.07.2007 г. на Общ.съвет - Мирково</t>
  </si>
  <si>
    <t>№ 684 от 13.11.2011 г.</t>
  </si>
  <si>
    <t>Концесионери: 12  Концесии: 18</t>
  </si>
  <si>
    <t xml:space="preserve"> суров нефт, природен газ и концентрат</t>
  </si>
  <si>
    <t>"Пирин Ораново" ЕООД, гр.Перник</t>
  </si>
  <si>
    <t>** Разходите за опазване и възстановяване на околната среда по направления за сектор "Добивна промишленост" са в % от общите за сектора.</t>
  </si>
  <si>
    <r>
      <t xml:space="preserve">Преки инвестиции в страната
</t>
    </r>
    <r>
      <rPr>
        <sz val="8"/>
        <rFont val="Tahoma"/>
        <family val="2"/>
      </rPr>
      <t>(Салдо към края на отч.период)</t>
    </r>
  </si>
  <si>
    <r>
      <t xml:space="preserve">Преки инвестиции в страната
</t>
    </r>
    <r>
      <rPr>
        <sz val="8"/>
        <rFont val="Tahoma"/>
        <family val="2"/>
      </rPr>
      <t>(Нетни транзакции)</t>
    </r>
  </si>
  <si>
    <t>Приложение 5</t>
  </si>
  <si>
    <t>Приложение 6</t>
  </si>
  <si>
    <t>УЧАСТИЕ НА ТВЪРДИ ГОРИВА, ПРИРОДЕН ГАЗ, НЕФТ И НЕФТОПРОДУКТИ В ОБЩИЯ ЕНЕРГИЕН БАЛАНС НА СТРАНАТА</t>
  </si>
  <si>
    <t>(хиляди тона нефтен еквивалент)</t>
  </si>
  <si>
    <t>общо</t>
  </si>
  <si>
    <t xml:space="preserve"> Производство на първична енергия - общо</t>
  </si>
  <si>
    <t xml:space="preserve">Въглища </t>
  </si>
  <si>
    <t>Горива от въглища</t>
  </si>
  <si>
    <t>Природен газ</t>
  </si>
  <si>
    <t>Суров нефт и нефтени дестилати</t>
  </si>
  <si>
    <t xml:space="preserve">Нефтопродукти </t>
  </si>
  <si>
    <t>Възобновяеми енергийни източници</t>
  </si>
  <si>
    <t>Ядрена енергия</t>
  </si>
  <si>
    <t>Топлинна енергия</t>
  </si>
  <si>
    <t xml:space="preserve"> Възстановени продукти</t>
  </si>
  <si>
    <t xml:space="preserve"> Внос</t>
  </si>
  <si>
    <t xml:space="preserve"> Изменение на запасите</t>
  </si>
  <si>
    <t xml:space="preserve"> Износ</t>
  </si>
  <si>
    <t>Брутно вътрешно потребление - общо</t>
  </si>
  <si>
    <t xml:space="preserve"> Вложено за преобразуване - общо</t>
  </si>
  <si>
    <t xml:space="preserve"> Получено от преобразуване - общо</t>
  </si>
  <si>
    <t>"Айселана" - у-к„Айселана 2”, с.Крушево, общ.Гърмен, обл.Благоевград</t>
  </si>
  <si>
    <t>гнайси и гнайсошисти</t>
  </si>
  <si>
    <t>D - 00607</t>
  </si>
  <si>
    <t>"Янкова чешма" - у-ци "Янкова чешма-север" и "Янкова чешма-юг", с.Нова ливада, общ.Ивайловград, обл.Хасково</t>
  </si>
  <si>
    <t>15.06.2012 г.</t>
  </si>
  <si>
    <t>D - 00616</t>
  </si>
  <si>
    <t>'"Стоянова тераса", с.Пчелиново, общ.Гурково, обл.Стара Загора</t>
  </si>
  <si>
    <t>D - 00619</t>
  </si>
  <si>
    <t>"Чакъров дрян", с.Камилски дол, общ.Ивайловград, обл.Хасково</t>
  </si>
  <si>
    <t>мрамори и гнайсошити</t>
  </si>
  <si>
    <t>22.08.2012 г.</t>
  </si>
  <si>
    <t>D - 00625</t>
  </si>
  <si>
    <t>"Кошарата", с.Лесидрен, общ.Угърчин, обл.Ловеч</t>
  </si>
  <si>
    <t>15.10.2012 г.</t>
  </si>
  <si>
    <t>D - 00627</t>
  </si>
  <si>
    <t>"Краварника", с.Кирчево, общ.Угърчин, обл.Ловеч</t>
  </si>
  <si>
    <t>D - 00635</t>
  </si>
  <si>
    <t>"Кобилино", у-к"Нивата", с.Кобилино, общ.Ивайлов-град, обл.Хасково</t>
  </si>
  <si>
    <t>D - 00642</t>
  </si>
  <si>
    <t>"Ерковище", у-ци "Вриза" и "Бистрица", с.Плетена, общ.Сатовча, обл.Благоевград</t>
  </si>
  <si>
    <t>гнайси, гнайсошисти и амфиболити</t>
  </si>
  <si>
    <t>28.05.2013 г.</t>
  </si>
  <si>
    <t>D - 00670</t>
  </si>
  <si>
    <t>"Кантона", с.Черни рид, общ.Ивайловград, обл.Хасково</t>
  </si>
  <si>
    <t>D - 00676</t>
  </si>
  <si>
    <t>"Бунилото", у-ци "Бунилото-изток" и "Бунилото-запад", с.Храбрино, общ."Родопи", обл.Пловдив</t>
  </si>
  <si>
    <t>в процедура на прекратяване по взаимно съгласие</t>
  </si>
  <si>
    <t>"Балканстон" ЕООД, гр.София</t>
  </si>
  <si>
    <t>94/2010
75/2010</t>
  </si>
  <si>
    <t>№ 310 от 11.05.1999 г.
№ 167 от 18.03.2011 г.</t>
  </si>
  <si>
    <t>№ 311 от 11.05.1999 г.
№ 166 от 18.03.2011 г.</t>
  </si>
  <si>
    <t>D - 00629</t>
  </si>
  <si>
    <t>D - 00661</t>
  </si>
  <si>
    <t>"Врачански варовик", у-ци "Централен", "Запад" и "Изток", с.Кунино, общ.Роман, обл.Враца</t>
  </si>
  <si>
    <t>"Садас" ООД, гр.София</t>
  </si>
  <si>
    <t>№ 499 от 15.06.2012 г.</t>
  </si>
  <si>
    <t>47/2012</t>
  </si>
  <si>
    <t>"Горна Кремена", у-к "Буков дол", с.Горна Кремена, общ.Мездра, обл.Враца</t>
  </si>
  <si>
    <t>"Монолит" АД, гр.София</t>
  </si>
  <si>
    <t>№ 160 от 07.03.2013 г.</t>
  </si>
  <si>
    <t>№ 899 от 20.11.2009
№ 680 от 16.09.2010 г.</t>
  </si>
  <si>
    <t>№ 368 от 30.05.2011 г.</t>
  </si>
  <si>
    <t>№ 693 от 17.09.2011 г.</t>
  </si>
  <si>
    <t>№ 536 от 23.07.2010 г.</t>
  </si>
  <si>
    <t>№ 736 от 03.10.2011 г.</t>
  </si>
  <si>
    <t>№ 737 от 03.10.2011 г.</t>
  </si>
  <si>
    <t>№ 722 от 27.09.2011 г.</t>
  </si>
  <si>
    <t>№ 613 от 08.08.2011 г.</t>
  </si>
  <si>
    <t>№ 40 от 20.01.2012 г.</t>
  </si>
  <si>
    <t>№ 726 от 29.11.2011 г.</t>
  </si>
  <si>
    <t>№ 800 от 03.11.2011 г.</t>
  </si>
  <si>
    <t>№ 233 от 27.03.2012 г.</t>
  </si>
  <si>
    <t>№ 76 от 06.03.2012 г.</t>
  </si>
  <si>
    <t>№ 638 от 30.08.2011 г.</t>
  </si>
  <si>
    <t>№ 187 от 09.03.2012 г.</t>
  </si>
  <si>
    <t>№ 949 от 23.12.2011 г.</t>
  </si>
  <si>
    <t>№ 286 от 06.04.2012 г.</t>
  </si>
  <si>
    <t>№ 472 от 11.06.2012 г.</t>
  </si>
  <si>
    <t>№ 526 от 26.06.2012 г.</t>
  </si>
  <si>
    <t>№ '698 от 28.08.2012 г.</t>
  </si>
  <si>
    <t>№ 629 от 20.07.2012 г.</t>
  </si>
  <si>
    <t>№ 169 от 08.03.2013 г.</t>
  </si>
  <si>
    <t>№ 98 от 20.02.2014 г.</t>
  </si>
  <si>
    <t>Концесионери: 4   Концесии: 9</t>
  </si>
  <si>
    <t>Концесионери: 9   Концесии: 16</t>
  </si>
  <si>
    <t>"Илинденци", с.Илинденци, общ.Керсна, Струмяни, обл.Благоевград</t>
  </si>
  <si>
    <t>мрамори; 
гнайси; шисти</t>
  </si>
  <si>
    <t>бигор</t>
  </si>
  <si>
    <t>варовици; бигор</t>
  </si>
  <si>
    <t>Концесионери: 3  Концесии: 3</t>
  </si>
  <si>
    <t>Концесионери: 4  Концесии: 5</t>
  </si>
  <si>
    <t>Концесионери: 13  Концесии: 25</t>
  </si>
  <si>
    <t>Концесионери: 44  Концесии: 60</t>
  </si>
  <si>
    <t>"МБС"АД, с.Златарица</t>
  </si>
  <si>
    <t>Доломитни варовици</t>
  </si>
  <si>
    <t>речна баластра (чакъл и пясък)</t>
  </si>
  <si>
    <t>заглинени пясъци</t>
  </si>
  <si>
    <t>рахити и псамитови туфи</t>
  </si>
  <si>
    <t>доломити и варовици</t>
  </si>
  <si>
    <t>амфиболити</t>
  </si>
  <si>
    <t>трахити и трахитови туфи</t>
  </si>
  <si>
    <t>пясък и чакъл 
(речна баластра)</t>
  </si>
  <si>
    <t>Доломитни мрамори</t>
  </si>
  <si>
    <t>3/2007</t>
  </si>
  <si>
    <t>82/2007</t>
  </si>
  <si>
    <t>4/2008 г.</t>
  </si>
  <si>
    <t>70/2008</t>
  </si>
  <si>
    <t>74/2008</t>
  </si>
  <si>
    <t>"Магстрой"ООД, гр. София</t>
  </si>
  <si>
    <t>30/2012</t>
  </si>
  <si>
    <t>03.08.2012 г.</t>
  </si>
  <si>
    <t>75/2006</t>
  </si>
  <si>
    <t>"Девинци" ООД, гр. Плевен</t>
  </si>
  <si>
    <t>6/2011</t>
  </si>
  <si>
    <t>29.08.2011 г.</t>
  </si>
  <si>
    <t>28.09.2005 г.</t>
  </si>
  <si>
    <t>3/20001</t>
  </si>
  <si>
    <t>40/2007</t>
  </si>
  <si>
    <t>68/2007</t>
  </si>
  <si>
    <t>26.07.2011 г.</t>
  </si>
  <si>
    <t>12.08.2011 г.</t>
  </si>
  <si>
    <t>49/2011</t>
  </si>
  <si>
    <t>18.10.2011 г.</t>
  </si>
  <si>
    <t>"Холсим кариерни материали Пловдив" АД, гр. Пловдив</t>
  </si>
  <si>
    <t>18.04.2012 г.</t>
  </si>
  <si>
    <t>14.05.2012 г.</t>
  </si>
  <si>
    <t>12.09.2012 г.</t>
  </si>
  <si>
    <t>06.10.2006 г.</t>
  </si>
  <si>
    <t>48/2013</t>
  </si>
  <si>
    <t>09.10.2013 г.</t>
  </si>
  <si>
    <t>"Витал Транс" ООД, гр. Първомай</t>
  </si>
  <si>
    <t>15.08.2005 г.</t>
  </si>
  <si>
    <t>01.10.2008 г.</t>
  </si>
  <si>
    <t>20.03.2006 г.</t>
  </si>
  <si>
    <t>"Еурострой" ООД, с. Катуница</t>
  </si>
  <si>
    <t>03.09.2008 г.</t>
  </si>
  <si>
    <t>"Еолит" ООД, гр. Пловдив</t>
  </si>
  <si>
    <t>17/2014</t>
  </si>
  <si>
    <t>15.07.2014 г.</t>
  </si>
  <si>
    <t>12/2014</t>
  </si>
  <si>
    <t>22.07.2014 г.</t>
  </si>
  <si>
    <t>60/2005</t>
  </si>
  <si>
    <t>08.12.2005 г.</t>
  </si>
  <si>
    <t>"Терекс и Ко" АД, гр. София</t>
  </si>
  <si>
    <t>04.12.2012 г.</t>
  </si>
  <si>
    <t>04.01.2013 г.</t>
  </si>
  <si>
    <t>01.02.2007 г.</t>
  </si>
  <si>
    <t>17.04.2006 г.</t>
  </si>
  <si>
    <t>50/2004</t>
  </si>
  <si>
    <t>"Пътстроймонтаж" ООД, гр. Силистра</t>
  </si>
  <si>
    <t>64/2011</t>
  </si>
  <si>
    <t>03.11.2011 г.</t>
  </si>
  <si>
    <t>26.07.1999  г.</t>
  </si>
  <si>
    <t>"Благстрой" ЕООД, гр. Силистра</t>
  </si>
  <si>
    <t>21.02.2012 г.</t>
  </si>
  <si>
    <t>25.09.2007 г.</t>
  </si>
  <si>
    <t>"София - Стройпроект" АД, гр. София</t>
  </si>
  <si>
    <t>04.12.2008 г.</t>
  </si>
  <si>
    <t>14/2004</t>
  </si>
  <si>
    <t>32/2004 63/2007</t>
  </si>
  <si>
    <t>106/2007</t>
  </si>
  <si>
    <t>88/2009</t>
  </si>
  <si>
    <t>"Биндер" АД, гр. Сливен</t>
  </si>
  <si>
    <t>04.07.2011 г.</t>
  </si>
  <si>
    <t>60/2012</t>
  </si>
  <si>
    <t>31.08.2012 г.</t>
  </si>
  <si>
    <t>101/2004</t>
  </si>
  <si>
    <t>33/205</t>
  </si>
  <si>
    <t>40/2008</t>
  </si>
  <si>
    <t>58/2008</t>
  </si>
  <si>
    <t>08.04.2009 г.</t>
  </si>
  <si>
    <t>20.01.2009 г.</t>
  </si>
  <si>
    <t>„Хидроминерал” ООД, гр. София</t>
  </si>
  <si>
    <t>07.11.2011 г.</t>
  </si>
  <si>
    <t>"Пътища и съоръжения" ЕАД, гр. София</t>
  </si>
  <si>
    <t>71/2011</t>
  </si>
  <si>
    <t>03.11.2006 г.</t>
  </si>
  <si>
    <t>"Рок Трейдинг" ООД, гр. Девин</t>
  </si>
  <si>
    <t>43/2012</t>
  </si>
  <si>
    <t>15.05.2013 г.</t>
  </si>
  <si>
    <t>56/2001</t>
  </si>
  <si>
    <t>58/2001</t>
  </si>
  <si>
    <t>46/2002</t>
  </si>
  <si>
    <t>42/2004</t>
  </si>
  <si>
    <t>62/2005</t>
  </si>
  <si>
    <t>89/2005</t>
  </si>
  <si>
    <t>49/2008</t>
  </si>
  <si>
    <t>"Кариери за чакъл и пясък - България" ЕАД, гр. София</t>
  </si>
  <si>
    <t>44/2012</t>
  </si>
  <si>
    <t>13.12.2011 г.</t>
  </si>
  <si>
    <t>67/2005</t>
  </si>
  <si>
    <t>44/2006</t>
  </si>
  <si>
    <t>7/2008 г.</t>
  </si>
  <si>
    <t>11/2008 г.</t>
  </si>
  <si>
    <t>19/2008 г.</t>
  </si>
  <si>
    <t>"ПИ ЕС АЙ" АД, гр. Стара Загора</t>
  </si>
  <si>
    <t>ЕТ "Петко Петков", с. Старозагорски бани</t>
  </si>
  <si>
    <t>88/2011</t>
  </si>
  <si>
    <t>20.12.2011 г.</t>
  </si>
  <si>
    <t>41/2004 78/2007</t>
  </si>
  <si>
    <t>"ПИМ" ЕООД, гр. Търговище</t>
  </si>
  <si>
    <t>"Родна индустрия-91" ЕООД, гр. Попово</t>
  </si>
  <si>
    <t>02.11.2006 г.</t>
  </si>
  <si>
    <t>07.05.1998 г.</t>
  </si>
  <si>
    <t>ПК "Прогрес 94" гр. Опака</t>
  </si>
  <si>
    <t>10.04.2007 г.</t>
  </si>
  <si>
    <t>12/2000</t>
  </si>
  <si>
    <t>7/2000</t>
  </si>
  <si>
    <t>36/2001</t>
  </si>
  <si>
    <t>26/2005</t>
  </si>
  <si>
    <t>42/2007</t>
  </si>
  <si>
    <t>108/2008</t>
  </si>
  <si>
    <t>1/2011</t>
  </si>
  <si>
    <t>29.06.2011 г.</t>
  </si>
  <si>
    <t>27.07.2011 г.</t>
  </si>
  <si>
    <t>19.12.2011 г.</t>
  </si>
  <si>
    <t>1. "Беттран" АД, гр. Хасково; 2. "Монолит" АД, гр. Хасково</t>
  </si>
  <si>
    <t>23.08.2012 г.</t>
  </si>
  <si>
    <t>"Еве" ООД, гр. Тополовград</t>
  </si>
  <si>
    <t>25.09.2000 г.</t>
  </si>
  <si>
    <t>"Калцит" ООД, гр. Димитровград</t>
  </si>
  <si>
    <t>56/2014</t>
  </si>
  <si>
    <t>22.10.2014 г.</t>
  </si>
  <si>
    <t>27.10.1993 г.</t>
  </si>
  <si>
    <t>"Пътища" АД, гр. Шумен</t>
  </si>
  <si>
    <t>16.01.2013 г.</t>
  </si>
  <si>
    <t>68/2004</t>
  </si>
  <si>
    <t>"Проучване и добив на 
нефт и газ" АД, гр.София</t>
  </si>
  <si>
    <t>№ 669 от 07.08.2012 г.</t>
  </si>
  <si>
    <t>"Дайрект Петролеум България" ЕООД, гр. София</t>
  </si>
  <si>
    <t>93/2012</t>
  </si>
  <si>
    <t>27.02.2013 г.</t>
  </si>
  <si>
    <t>51/2014</t>
  </si>
  <si>
    <t>30.06.2014 г.</t>
  </si>
  <si>
    <t>94/1999</t>
  </si>
  <si>
    <t>27/2001</t>
  </si>
  <si>
    <t>52/2004</t>
  </si>
  <si>
    <t>61/2001</t>
  </si>
  <si>
    <t>"Върба Батанци" АД, гр. Златоград</t>
  </si>
  <si>
    <t>23.04.1999 г.</t>
  </si>
  <si>
    <t>"Седимент приват" АД, гр.София.</t>
  </si>
  <si>
    <t>№ 507 от 27.07.2007 г.</t>
  </si>
  <si>
    <t>"Румянцево", с.Петревене, общ.Луковит, обл.Ловеч</t>
  </si>
  <si>
    <t>"Седимент приват" АД, гр.София</t>
  </si>
  <si>
    <t>№ 499 от 23.07.2007 г.</t>
  </si>
  <si>
    <t>"Галата", общ.Тетевен, обл.Ловеч</t>
  </si>
  <si>
    <t>№528 от 01.08.2007 г.</t>
  </si>
  <si>
    <t>"Гложене", с.Гложене, общ.Тетевен, обл.Ловеч</t>
  </si>
  <si>
    <t>28.08.2007 г.</t>
  </si>
  <si>
    <t>"Нановица", общ.Тетевен, обл.Ловеч</t>
  </si>
  <si>
    <t>№ 500 от 23.07.2007 г.</t>
  </si>
  <si>
    <t>"Кирчево", с.Кирчево, общ.Угърчин, обю.Ловеч</t>
  </si>
  <si>
    <t>пясъчници</t>
  </si>
  <si>
    <t>№ 545 от 20.08.2007 г.</t>
  </si>
  <si>
    <t>"Дълга усойка", общ.Рудозем, обл.Смолян</t>
  </si>
  <si>
    <t>мраморен брекчоконгломерат</t>
  </si>
  <si>
    <t>"Рудметал" АД, гр.Рудозем</t>
  </si>
  <si>
    <t>№ 566 от 29.08.2007 г.</t>
  </si>
  <si>
    <t>"Корумахле", с.Железино, общ.Ивайловград, обл.Хасково</t>
  </si>
  <si>
    <t>"Геотул" ЕООД, гр.София</t>
  </si>
  <si>
    <t>04.10.2007 г.</t>
  </si>
  <si>
    <t>№ 2 от 05.01.1999 г.</t>
  </si>
  <si>
    <t>"Неврокоп", с.Гайтаниново, общ.Хаджидимово, обл.София</t>
  </si>
  <si>
    <t>29.01.1999 г.</t>
  </si>
  <si>
    <t>№ 425 от 02.07.2008 г.</t>
  </si>
  <si>
    <t>D - 00560</t>
  </si>
  <si>
    <t>"Бояново-2", с.Бояново, общ.Елхово, обл.Ямбол</t>
  </si>
  <si>
    <t>D - 00561</t>
  </si>
  <si>
    <t>"Козирог" с.Кози рог, общ.Габрово и с.Янтра, общ.Дряново, обл.Габрово</t>
  </si>
  <si>
    <t>D - 00562</t>
  </si>
  <si>
    <t>"Рафаело", с.Киреево, общ.Макреш, обл.Видин</t>
  </si>
  <si>
    <t>"Киряевска вар" ООД, с.Киреево, общ.Макреш</t>
  </si>
  <si>
    <t>D - 00563</t>
  </si>
  <si>
    <t>D - 00564</t>
  </si>
  <si>
    <t>"Самоводене", у-к „Запад“, общ.Велико Търново, обл.Велико Търново</t>
  </si>
  <si>
    <t>D - 00566</t>
  </si>
  <si>
    <t>"Бояново", с.Бояново, общ.Елхово, обл.Ямбол</t>
  </si>
  <si>
    <t>D - 00567</t>
  </si>
  <si>
    <t>"Али", с.Веринско, общ.
Ихтиман, Софийска област</t>
  </si>
  <si>
    <t>D - 00568</t>
  </si>
  <si>
    <t>"Поп Кралево", с.Главан, общ.Силистра, обл.Силистра</t>
  </si>
  <si>
    <t>D - 00570</t>
  </si>
  <si>
    <t>"Илиина могила” – у-к „I” и 
у-к „II”, р-н "Кремиковци", Столична община, обл.София</t>
  </si>
  <si>
    <t>D - 00571</t>
  </si>
  <si>
    <t>"Команското", с.Микре, общ.Угърчин, обл.Ловеч</t>
  </si>
  <si>
    <t>D - 00572</t>
  </si>
  <si>
    <t>"Шугла", уици „Север“ и „Юг“, с.Долно Белотинци, общ.Монтана, обл.Монтана</t>
  </si>
  <si>
    <t>D - 00573</t>
  </si>
  <si>
    <t>БВП - реален ръст</t>
  </si>
  <si>
    <t>БВП - дефлатор</t>
  </si>
  <si>
    <t>БДС - Добивна и преработваща промишленост; Производство и разпределение на ел.енергия, газ и вода - текущи цени</t>
  </si>
  <si>
    <t>- цени по предх.година</t>
  </si>
  <si>
    <t>- номинален ръст</t>
  </si>
  <si>
    <t>- реален ръст</t>
  </si>
  <si>
    <t>- дефлатор</t>
  </si>
  <si>
    <t>- дял в БВП по тек.цени</t>
  </si>
  <si>
    <t>- дял в БВП по цени предх.год.</t>
  </si>
  <si>
    <t>B_TO_E36</t>
  </si>
  <si>
    <t>Индекси на промишленото производство - общо</t>
  </si>
  <si>
    <t>В</t>
  </si>
  <si>
    <t>Добивна промишленост</t>
  </si>
  <si>
    <t>-"-</t>
  </si>
  <si>
    <t>B05</t>
  </si>
  <si>
    <t>Добив на въглища</t>
  </si>
  <si>
    <t>B07</t>
  </si>
  <si>
    <t>Добив на метални руди</t>
  </si>
  <si>
    <t>B08</t>
  </si>
  <si>
    <t>Добив на неметални материали и суровини</t>
  </si>
  <si>
    <t>Индекси на оборота в промишлеността - общо</t>
  </si>
  <si>
    <t>туфити</t>
  </si>
  <si>
    <t>"Капаклък", с.Мост, общ.Кърджали, обл.Кърджали</t>
  </si>
  <si>
    <t>23.12.2003 г.</t>
  </si>
  <si>
    <t>№ 53 от 27.01.2004 г.</t>
  </si>
  <si>
    <t>"Елов дол - запад", общ.Земен, обл.Перник</t>
  </si>
  <si>
    <t>"Глинохум" ООД, гр.Перник</t>
  </si>
  <si>
    <t>10.03.2004 г.</t>
  </si>
  <si>
    <t>№ 182 от 17.03.2004 г.</t>
  </si>
  <si>
    <t>фелдшпатова суровина (метариолити)</t>
  </si>
  <si>
    <t>"Устрем", общ.Тополовград, обл.Хасково</t>
  </si>
  <si>
    <t>"Магма - 97" АД, гр.София</t>
  </si>
  <si>
    <t>15.04.2004 г.</t>
  </si>
  <si>
    <t xml:space="preserve">№ 595 от 29.06.2005 г. </t>
  </si>
  <si>
    <t>доломитни мрамори</t>
  </si>
  <si>
    <t>"Мелница", с.Срем, общ. Тополовград, обл.Хасково</t>
  </si>
  <si>
    <t>15.07.2005 г.</t>
  </si>
  <si>
    <t>№ 289 от 09.04.2004 г.</t>
  </si>
  <si>
    <t>09.10.2006 г.</t>
  </si>
  <si>
    <t>"Пътинженеринг" АД, гр.Плевен</t>
  </si>
  <si>
    <t>№ 660 от 04.09.2006 г.</t>
  </si>
  <si>
    <t>Маркова могила", участък "Чомаковци", общ.Червен бряг, обл.Плевен</t>
  </si>
  <si>
    <t>"Кунино", с.Кунино, общ.Роман, обл.Враца</t>
  </si>
  <si>
    <t>13.07.2007 г.</t>
  </si>
  <si>
    <t>"Бивар" АД, гр.Мездра</t>
  </si>
  <si>
    <t>№ 386 от 05.06.2006 г.</t>
  </si>
  <si>
    <t>05.07.2007 г.</t>
  </si>
  <si>
    <t>"Полето - север", с.Бучино, общ.Благоевград</t>
  </si>
  <si>
    <t>"Малко Търново", общ.Малко Търново, обл.Бургас</t>
  </si>
  <si>
    <t>27.04.2007 г.</t>
  </si>
  <si>
    <t>№ 156 от 15.03.2007 г.
изм. 03.12.2009 г.</t>
  </si>
  <si>
    <t>№ 469 от 10.07.2007 г.</t>
  </si>
  <si>
    <t>"Крушевец", общ.Созопол, обл.Бургас</t>
  </si>
  <si>
    <t>"Пътни строежи 2001" АД, гр.Бургас</t>
  </si>
  <si>
    <t>20.8.2007 г.</t>
  </si>
  <si>
    <t>№ 547 от 20.08.2007 г.</t>
  </si>
  <si>
    <t>Чириковец", на с.Лесичарка, общ.Габрово, обл.Габрово</t>
  </si>
  <si>
    <t>варовици и пясъчници</t>
  </si>
  <si>
    <t>"Димас" АД, гр.Габрово</t>
  </si>
  <si>
    <t>17.09.2007 г.</t>
  </si>
  <si>
    <t>10.12.1997 г.</t>
  </si>
  <si>
    <t>№ 546 от 20.08.2007 г.</t>
  </si>
  <si>
    <t>"Анастасия", общ.Бургас, обл.Бургас</t>
  </si>
  <si>
    <t xml:space="preserve">"Еврокар" ООД, гр.Бургас </t>
  </si>
  <si>
    <t>10.09.2007 г.</t>
  </si>
  <si>
    <t>"Дуранкулак", общ.Шабла, обл.Добрич</t>
  </si>
  <si>
    <t>29.07.2004 г.</t>
  </si>
  <si>
    <t xml:space="preserve">№ 536 от 30.07.2003 г. </t>
  </si>
  <si>
    <t>Южен централен район</t>
  </si>
  <si>
    <t>Кърджали</t>
  </si>
  <si>
    <t>Пазарджик</t>
  </si>
  <si>
    <t>Пловдив</t>
  </si>
  <si>
    <t>Смолян</t>
  </si>
  <si>
    <t>Хасково</t>
  </si>
  <si>
    <t>%</t>
  </si>
  <si>
    <t>София област</t>
  </si>
  <si>
    <t>Североизточен район</t>
  </si>
  <si>
    <t>Югоизточен район</t>
  </si>
  <si>
    <t>"Говедарника", обл.Пловдив</t>
  </si>
  <si>
    <t>златно-медно-пиритни; 
медно-порфирни златосъдържащи руди</t>
  </si>
  <si>
    <t>медни руди;
волфрамсъдържащи руди</t>
  </si>
  <si>
    <t>Концесионери: 1   Концесии: 1</t>
  </si>
  <si>
    <t>Концесионери: 3   Концесии: 3</t>
  </si>
  <si>
    <t>Концесионери: 2   Концесии: 2</t>
  </si>
  <si>
    <t>Концесионери: 1   Концесии: 2</t>
  </si>
  <si>
    <t>Концесионери: 1   Концесии: 3</t>
  </si>
  <si>
    <t>Концесионери: 3   Концесии: 6</t>
  </si>
  <si>
    <t>Северен централен район</t>
  </si>
  <si>
    <t>нефтошисти;
огнеупорни и керамични глини</t>
  </si>
  <si>
    <t>Концесионери: 3   Концесии: 4</t>
  </si>
  <si>
    <t>бентонитови глини;
варовици</t>
  </si>
  <si>
    <t>Северозападен район</t>
  </si>
  <si>
    <t>кварц-каолинова суровина; кремъчни конкреции</t>
  </si>
  <si>
    <t xml:space="preserve"> кварц-каолинова суровина; кварц-фелдшпатови пясъци; кремъчни конкреции</t>
  </si>
  <si>
    <t>"Сухата река", общ.Велинград, общ.Ракитово, обл.Пазарджик</t>
  </si>
  <si>
    <t>пегматитова суровина</t>
  </si>
  <si>
    <t>27.01.2006 г.</t>
  </si>
  <si>
    <t>"Рамово" ООД, гр.София</t>
  </si>
  <si>
    <t>№ 73 от 6.02.2006 г.</t>
  </si>
  <si>
    <t>пегматоидни левкократни гранити</t>
  </si>
  <si>
    <t>"Дуката", с.Бързия, общ.Берковица, обл.Монтана</t>
  </si>
  <si>
    <t>09.03.2006 г.</t>
  </si>
  <si>
    <t>"Керамика Аспида" ООД, гр.София</t>
  </si>
  <si>
    <t xml:space="preserve">"Волф и Мюлер Минералс България" ООД, гр.София </t>
  </si>
  <si>
    <t>доломити за металургията</t>
  </si>
  <si>
    <t>28.09.2007 г.</t>
  </si>
  <si>
    <t>"Алпине България" АД, гр.София</t>
  </si>
  <si>
    <t>№ 108 от 21.02.2006 г.
№ 727 от 20.10.2006 г.</t>
  </si>
  <si>
    <t>"Кривня", с.Кривня, общ,Ветово, обл.Русе</t>
  </si>
  <si>
    <t>Дати на 
влизане в сила и прекратяване на концесионния договор</t>
  </si>
  <si>
    <t xml:space="preserve">№ 315 от 11.05.1999 г.
№ 805 от 19.11.2003 г. </t>
  </si>
  <si>
    <t xml:space="preserve">№ 316 от 11.05.1999 г.
№ 803 от 19.11.2003 г. </t>
  </si>
  <si>
    <t xml:space="preserve">№ 314 от 11.05.1999 г.
№ 804 от 19.11.2003 г. </t>
  </si>
  <si>
    <t xml:space="preserve">№ 313 от 11.05.1999 г.
№ 806 от 19.11.2003 г. </t>
  </si>
  <si>
    <t>Решения на МС
(№ дата)</t>
  </si>
  <si>
    <t>№ 207 от 19.04.2000 г.
№ 841 от 01.12.2003 г.</t>
  </si>
  <si>
    <t>№ 338 от 20.05.1999 г.
№ 840 от 01.12.2003 г.</t>
  </si>
  <si>
    <t>№ 16 от 18.01.2000 г.
Писмо № Т 03-00-38 от 12.08.2005 г. на МИ</t>
  </si>
  <si>
    <t xml:space="preserve">№ 340 от 20.05.1999 г.
№ 36 от 21.01.2004 г. </t>
  </si>
  <si>
    <t xml:space="preserve">№ 339 от 20.05.1999 г.
№ 37 от 21.01.2004 г. </t>
  </si>
  <si>
    <t>№ 407 от 06.06.2001 г.
№ 242 от 29.03.2004 г.</t>
  </si>
  <si>
    <t>06.08.1999 г.
01.08.2003 г.</t>
  </si>
  <si>
    <t>14.06.1999 г.
01.01.2005 г.*</t>
  </si>
  <si>
    <t>Забележка:</t>
  </si>
  <si>
    <t>07.12.1998 г.
01.01.2005 г.*</t>
  </si>
  <si>
    <t>11.03.1999 г.
01.01.2005 г.*</t>
  </si>
  <si>
    <t>07.12.1998 г.
19.11.2005 г.*</t>
  </si>
  <si>
    <t>01.01.2000 г.
19.04.2003 г.</t>
  </si>
  <si>
    <t>* Дата на прекратяване на партидата. Няма информация за датата на прекратяване на концесионния договор.</t>
  </si>
  <si>
    <t>№ 196 от 27.03.2007 г.
№ 687 от 23.10.2007 г.</t>
  </si>
  <si>
    <t>29.11.2007 г.</t>
  </si>
  <si>
    <t>"Флинт 02" ЕООД, с.Бисерци, обл.Разград</t>
  </si>
  <si>
    <t>№ 13 от 15.01.2008 г.</t>
  </si>
  <si>
    <t>"Великан", гр.Меричлери, общ.Димитровград, обл.Хасково</t>
  </si>
  <si>
    <t>22.02.2008 г.</t>
  </si>
  <si>
    <t>№ 406 от 14.06.2007 г.</t>
  </si>
  <si>
    <t xml:space="preserve">"Козяк", общ.Сливница, Софийска област </t>
  </si>
  <si>
    <t>23.07.2008 г.</t>
  </si>
  <si>
    <t>"Минерал 2000" ЕООД, гр.София</t>
  </si>
  <si>
    <t>№ 589 от 10.09.2008 г.</t>
  </si>
  <si>
    <t xml:space="preserve">органогенен варовик </t>
  </si>
  <si>
    <t xml:space="preserve">"Пчелари" - участъци "Запад" и "Изток", общ.Стамболово, обл.Хасково </t>
  </si>
  <si>
    <t xml:space="preserve">"Гравелита" - ООД, гр.София </t>
  </si>
  <si>
    <t>10.10.2008 г.</t>
  </si>
  <si>
    <t>№ 590 от 10.09.2008 г.</t>
  </si>
  <si>
    <t xml:space="preserve">"Корията", общ.Суворово, обл.Варна </t>
  </si>
  <si>
    <t>№ 471 от 25.06.2001 г.</t>
  </si>
  <si>
    <t>05.02.2002 г.</t>
  </si>
  <si>
    <t>11.02.2002 г.</t>
  </si>
  <si>
    <t>№ 148 от 18.03.2002 г.</t>
  </si>
  <si>
    <t>D - 00201</t>
  </si>
  <si>
    <t xml:space="preserve">полиметални златосъдържащи руди </t>
  </si>
  <si>
    <t>14.10.2002 г.</t>
  </si>
  <si>
    <t>18.03.2002 г.</t>
  </si>
  <si>
    <t>"Лорънс Мартин-Зидарово"АД</t>
  </si>
  <si>
    <t>№ 169 от 20.03.2003 г.</t>
  </si>
  <si>
    <t>D - 00210</t>
  </si>
  <si>
    <t>"Цар Асен", обл.Пазарджик</t>
  </si>
  <si>
    <t>D - 00388</t>
  </si>
  <si>
    <t>D - 00410</t>
  </si>
  <si>
    <t>D - 00412</t>
  </si>
  <si>
    <t>D - 00414</t>
  </si>
  <si>
    <t>D - 00415</t>
  </si>
  <si>
    <t>D - 00416</t>
  </si>
  <si>
    <t>D - 00417</t>
  </si>
  <si>
    <t>D - 00435</t>
  </si>
  <si>
    <t>D - 00441</t>
  </si>
  <si>
    <t>D - 00461</t>
  </si>
  <si>
    <t>D - 00471</t>
  </si>
  <si>
    <t>D - 00481</t>
  </si>
  <si>
    <t>D - 00493</t>
  </si>
  <si>
    <t>D - 00494</t>
  </si>
  <si>
    <t>D - 00513</t>
  </si>
  <si>
    <t>D - 00518</t>
  </si>
  <si>
    <t>D - 00535</t>
  </si>
  <si>
    <t>D - 00537</t>
  </si>
  <si>
    <t>D - 00539</t>
  </si>
  <si>
    <t>D - 00541</t>
  </si>
  <si>
    <t>D - 00542</t>
  </si>
  <si>
    <t xml:space="preserve">№ 230 от 9.04.2001 г. </t>
  </si>
  <si>
    <t>D - 00106</t>
  </si>
  <si>
    <t>16.05.2001 г.</t>
  </si>
  <si>
    <t>№ 537 от 30.07.2003 г.</t>
  </si>
  <si>
    <t>D - 00304</t>
  </si>
  <si>
    <t xml:space="preserve"> суров нефт и природен газ </t>
  </si>
  <si>
    <t>"Долни Дъбник", общ.Долни Дъбник, обл.Плевен</t>
  </si>
  <si>
    <t>12.09.2003 г.</t>
  </si>
  <si>
    <t>D - 00305</t>
  </si>
  <si>
    <t>D - 00306</t>
  </si>
  <si>
    <t>D - 00307</t>
  </si>
  <si>
    <t>D - 00308</t>
  </si>
  <si>
    <t>D - 00309</t>
  </si>
  <si>
    <t>D - 00310</t>
  </si>
  <si>
    <t>D - 00311</t>
  </si>
  <si>
    <t>D - 00312</t>
  </si>
  <si>
    <t>D - 00313</t>
  </si>
  <si>
    <t>D - 00314</t>
  </si>
  <si>
    <t>D - 00543</t>
  </si>
  <si>
    <t>D - 00523</t>
  </si>
  <si>
    <t>D - 00524</t>
  </si>
  <si>
    <t>D - 00525</t>
  </si>
  <si>
    <t>D - 00526</t>
  </si>
  <si>
    <t>D - 00529</t>
  </si>
  <si>
    <t>D - 00545</t>
  </si>
  <si>
    <t>D - 00546</t>
  </si>
  <si>
    <t>D - 00548</t>
  </si>
  <si>
    <t>№ 659 от 22.10.1999 г.</t>
  </si>
  <si>
    <t>D - 00086</t>
  </si>
  <si>
    <t>№ 660 от 22.10.1999 г.</t>
  </si>
  <si>
    <t>"Хан Аспарух", обл.Пловдив</t>
  </si>
  <si>
    <t>"Лъки инвест" АД</t>
  </si>
  <si>
    <t>"Крушев дол", обл.Смолян</t>
  </si>
  <si>
    <t>D - 00140</t>
  </si>
  <si>
    <t>20.04.2001 г.</t>
  </si>
  <si>
    <t>27.08.1999 г.</t>
  </si>
  <si>
    <t>"Петровица", обл.Смолян</t>
  </si>
  <si>
    <t>D - 00141</t>
  </si>
  <si>
    <t>№ 125 от 14.03.2001 г.</t>
  </si>
  <si>
    <t>№ 126 от 14.03.2001 г.</t>
  </si>
  <si>
    <t>"Димов дол", обл.Смолян</t>
  </si>
  <si>
    <t>D - 00186</t>
  </si>
  <si>
    <t>28.12.2006 г.</t>
  </si>
  <si>
    <t>"Булгнайс" ООД, гр.Ивайловград</t>
  </si>
  <si>
    <t>"Кремена - Пападопулос", общ.Мездра, обл.Враца</t>
  </si>
  <si>
    <t>08.12.2006 г.</t>
  </si>
  <si>
    <t>№ 752 от 01.11.2006 г.
№ 714 от 03.09.2009 г.</t>
  </si>
  <si>
    <t>"Дано-Р" ЕООД, гр.София</t>
  </si>
  <si>
    <t>20.01.2010 г.</t>
  </si>
  <si>
    <t>06.01.1999 г.</t>
  </si>
  <si>
    <t>04.06.2010 г.</t>
  </si>
  <si>
    <t>"Целзиан" ООД, гр.София</t>
  </si>
  <si>
    <t>№ 823 от 28.10.2009 г.</t>
  </si>
  <si>
    <t>"Арко импорт" ЕООД, гр.Раднево</t>
  </si>
  <si>
    <t>"Дългия рид", у-к "Източен" и у-к "Западен", общ.Нова Загора, обл.Сливен</t>
  </si>
  <si>
    <t>2010 г.
= 100</t>
  </si>
  <si>
    <t>"Студена", у-к "Хидрострой 1", общ.Перник и общ.Радомир, обл.Перник</t>
  </si>
  <si>
    <t>"Кремена Стоун" ООД , гр.София</t>
  </si>
  <si>
    <t>№ 633 от 06.07.2005 г.</t>
  </si>
  <si>
    <t>"Крибул", с.Крибул, общ.Сатовча, обл.Благоевград</t>
  </si>
  <si>
    <t>гнайси</t>
  </si>
  <si>
    <t>12.08.2005 г.</t>
  </si>
  <si>
    <t>СД "Фемили-Филибев &amp;", с.Банище, община Брезник</t>
  </si>
  <si>
    <t>№ 398 от 26.05.2006 г.</t>
  </si>
  <si>
    <t>"Казармата", с.Черни рид, общ.Ивайловград, обл.Хасково</t>
  </si>
  <si>
    <t>30.06.2006 г.</t>
  </si>
  <si>
    <t>"Марин Батуров" ЕООД , гр.София</t>
  </si>
  <si>
    <t>№ 262 от 23.04.2007 г.</t>
  </si>
  <si>
    <t>шисти</t>
  </si>
  <si>
    <t>62/2008</t>
  </si>
  <si>
    <t>32/2009</t>
  </si>
  <si>
    <t>50/2009</t>
  </si>
  <si>
    <t>31/2010</t>
  </si>
  <si>
    <t>59/2010</t>
  </si>
  <si>
    <t>21.12.2010 г.</t>
  </si>
  <si>
    <t>„Дионисомарбле - България“ ЕООД, гр. София</t>
  </si>
  <si>
    <t>8/2012</t>
  </si>
  <si>
    <t>28.02.2012 г.</t>
  </si>
  <si>
    <t>34/2000</t>
  </si>
  <si>
    <t>46/.1999</t>
  </si>
  <si>
    <t>24.02.2000 г.</t>
  </si>
  <si>
    <t>"Ардино - Мрамор" - ООД, с. Правдолюб</t>
  </si>
  <si>
    <t>78/2011</t>
  </si>
  <si>
    <t>02.03.2012 г.</t>
  </si>
  <si>
    <t>62/2007</t>
  </si>
  <si>
    <t>64/2007</t>
  </si>
  <si>
    <t>20/2009</t>
  </si>
  <si>
    <t>"Щайн груп" ЕООД, гр. София</t>
  </si>
  <si>
    <t>46/2012</t>
  </si>
  <si>
    <t>10.10.2012 г.</t>
  </si>
  <si>
    <t>"Техсел" ООД, гр. София</t>
  </si>
  <si>
    <t>50/2012</t>
  </si>
  <si>
    <t>23.10.2012 г.</t>
  </si>
  <si>
    <t>74/2004</t>
  </si>
  <si>
    <t>30.01.2012 г.</t>
  </si>
  <si>
    <t>46/2006</t>
  </si>
  <si>
    <t>15/2006</t>
  </si>
  <si>
    <t>56/2005</t>
  </si>
  <si>
    <t>43/2009</t>
  </si>
  <si>
    <t>"Индустриални минерали БГ" ЕООД, гр. София</t>
  </si>
  <si>
    <t>101/2013</t>
  </si>
  <si>
    <t>06.02.2014 г.</t>
  </si>
  <si>
    <t>96/2006</t>
  </si>
  <si>
    <t>2/2007</t>
  </si>
  <si>
    <t>85/2005</t>
  </si>
  <si>
    <t>104/2005</t>
  </si>
  <si>
    <t>46/2000</t>
  </si>
  <si>
    <t>55/2001</t>
  </si>
  <si>
    <t>"Ведена" ООД, гр. Разград</t>
  </si>
  <si>
    <t>кварц-каолинитови среднопластични глини</t>
  </si>
  <si>
    <t>85/2010</t>
  </si>
  <si>
    <t>23.12.2010 г.</t>
  </si>
  <si>
    <t>16/2009</t>
  </si>
  <si>
    <t>106/2004</t>
  </si>
  <si>
    <t>16/1999</t>
  </si>
  <si>
    <t>92/1995</t>
  </si>
  <si>
    <t>"Динас" АД, гр. Сливен</t>
  </si>
  <si>
    <t>87/2000</t>
  </si>
  <si>
    <t>O - 00796</t>
  </si>
  <si>
    <t>"Тикенлика", с.Коларово, общ.Главиница, обл.Силистра</t>
  </si>
  <si>
    <t>№ 385 от 05.06.2007 г.</t>
  </si>
  <si>
    <t>"Черничево", с. Крупник, общ.Симитли, обл.Благоевград</t>
  </si>
  <si>
    <t xml:space="preserve">"Оникс" ООД, гр.Благоевград </t>
  </si>
  <si>
    <t>12.07.2007 г.</t>
  </si>
  <si>
    <t xml:space="preserve">"СМА Минерал Бургас Вар" ЕООД, гр.Бургас </t>
  </si>
  <si>
    <t>№ 240 от 17.04.2007 г.
изм. 03.12.2009 г.</t>
  </si>
  <si>
    <t>№ 448 от 04.07.2006 г.</t>
  </si>
  <si>
    <t>"Елаците", общ.Стамболийски и общ.Перущица, обл.Пловдив</t>
  </si>
  <si>
    <t>ЕТ "Руска Ангелова", с. Дъбовец, общ.Любимец</t>
  </si>
  <si>
    <t>"Риолит" ЕООД, гр.Крумовград</t>
  </si>
  <si>
    <t>ЕТ "Севдин - Шукри Фейзи", гр.Хасково</t>
  </si>
  <si>
    <t>"Фабриката - 1", с.Кобилино, общ.Ивайловград, обл.Хасково</t>
  </si>
  <si>
    <t>D - 00602</t>
  </si>
  <si>
    <t>"Железино", с.Нова ливада, общ.Ивайловград, обл.Хасково</t>
  </si>
  <si>
    <t>гнайси и амфиболити</t>
  </si>
  <si>
    <t>D - 00603</t>
  </si>
  <si>
    <t>"Камъните", с.Железино и с.Нова ливада, общ.Ивайловград, обл.Хасково</t>
  </si>
  <si>
    <t>D - 00606</t>
  </si>
  <si>
    <t>91/2006</t>
  </si>
  <si>
    <t xml:space="preserve">2/2007 </t>
  </si>
  <si>
    <t>11/2010</t>
  </si>
  <si>
    <t>23/2006</t>
  </si>
  <si>
    <t>56/2008</t>
  </si>
  <si>
    <t>23/2004</t>
  </si>
  <si>
    <t>"Каи Майнинг" ЕООД, гр. Исперих</t>
  </si>
  <si>
    <t>халцедонови силицити</t>
  </si>
  <si>
    <t>39/2011</t>
  </si>
  <si>
    <t>17.09.2011 г.</t>
  </si>
  <si>
    <t>13/2002</t>
  </si>
  <si>
    <t>40/2002</t>
  </si>
  <si>
    <t>"Гравелита" ООД, гр. София</t>
  </si>
  <si>
    <t>107/2002</t>
  </si>
  <si>
    <t>64/2003</t>
  </si>
  <si>
    <t>75/2011</t>
  </si>
  <si>
    <t>7/2008</t>
  </si>
  <si>
    <t>88/2003</t>
  </si>
  <si>
    <t>77/2004</t>
  </si>
  <si>
    <t>105/2008</t>
  </si>
  <si>
    <t>варовици за флюс</t>
  </si>
  <si>
    <t>60/2009</t>
  </si>
  <si>
    <t>05.02.2010 г.</t>
  </si>
  <si>
    <t>92/2004</t>
  </si>
  <si>
    <t>фелдшпат-кварцови пясъци</t>
  </si>
  <si>
    <t>87/2010</t>
  </si>
  <si>
    <t>50/2011</t>
  </si>
  <si>
    <t>D - 00575</t>
  </si>
  <si>
    <t>"Дънди Прешъс Металс
Челопеч" ЕАД, с.Челопеч</t>
  </si>
  <si>
    <t>D - 00576</t>
  </si>
  <si>
    <t>"Арчар", с.Градище, общ.Шумен, обл.Шумен</t>
  </si>
  <si>
    <t>"Беленища", общ.Опака, обл.Търговище</t>
  </si>
  <si>
    <t>D - 00584</t>
  </si>
  <si>
    <t>"Две могили", у-к "Маргарита-2" и у-к "Пристое 3", с.Присое, общ.Каолиново, обл.Шумен</t>
  </si>
  <si>
    <t>D - 00586</t>
  </si>
  <si>
    <t>"Кара Михал", с.Владимировци, общ.Самуил, обл.Разград</t>
  </si>
  <si>
    <t>D - 00591</t>
  </si>
  <si>
    <t>"Оврага", у-к "Север" и у-к "Юг", с.Голям извор, общ. Стамболово, обл.Хасково</t>
  </si>
  <si>
    <t>вулкански туфизити "олигомикт"</t>
  </si>
  <si>
    <t>23.12.2011 г.</t>
  </si>
  <si>
    <t>D - 00624</t>
  </si>
  <si>
    <t>влязло в сила решение за обявяване в несъстоятелност на концесионера</t>
  </si>
  <si>
    <t>"Руен", общ.Кюстендил, обл.Кюстендил</t>
  </si>
  <si>
    <t>"Осогово" ЕАД, с.Гърляно, общ.Кюстендил</t>
  </si>
  <si>
    <t>D - 00109</t>
  </si>
  <si>
    <t>брекчо-конгломерати</t>
  </si>
  <si>
    <t xml:space="preserve">неизпълнение от страна на концесионера на основни задължения по договора </t>
  </si>
  <si>
    <t>"Челюстница", общ.Чипровци, обл.Монтана</t>
  </si>
  <si>
    <t>D - 00171</t>
  </si>
  <si>
    <t>огнеупорни и каменинови глини</t>
  </si>
  <si>
    <t>"Огнеупорни глини" АД, гр.Плевен</t>
  </si>
  <si>
    <t>"Качица - запад", общ.Долна Митрополия, обл.Плевен</t>
  </si>
  <si>
    <t>взаимно съгласие</t>
  </si>
  <si>
    <t>"Порт ойл" ООД, гр.Бургас</t>
  </si>
  <si>
    <t>№ 966 от 10.12.2004 г.</t>
  </si>
  <si>
    <t>№ 67 от 04.02.2005 г.</t>
  </si>
  <si>
    <t>"Люляка", с.Чернево, общ.Суворово, обл.Варна</t>
  </si>
  <si>
    <t>17.01.2005 г.</t>
  </si>
  <si>
    <t>№ 521 от 21.06.2004 г.</t>
  </si>
  <si>
    <t>30.07.2004 г.</t>
  </si>
  <si>
    <t>"ЗСК - Девня" АД, гр.Девня</t>
  </si>
  <si>
    <t>медни руди</t>
  </si>
  <si>
    <t>D - 00016</t>
  </si>
  <si>
    <t>D - 00020</t>
  </si>
  <si>
    <t>D - 00021</t>
  </si>
  <si>
    <t>медно-порфирни златосъдържащи руди</t>
  </si>
  <si>
    <t>D - 00074</t>
  </si>
  <si>
    <t>D - 00075</t>
  </si>
  <si>
    <t>оловно-цинкови и златосъдържащи руди</t>
  </si>
  <si>
    <t>D - 00030</t>
  </si>
  <si>
    <t>бели бентонитови глини</t>
  </si>
  <si>
    <t>D - 00031</t>
  </si>
  <si>
    <t>клиноптилолитови зеолити</t>
  </si>
  <si>
    <t>D - 00032</t>
  </si>
  <si>
    <t>бентонитови глини</t>
  </si>
  <si>
    <t>D - 00033</t>
  </si>
  <si>
    <t>перлит</t>
  </si>
  <si>
    <t>D - 00034</t>
  </si>
  <si>
    <t>златно-медно-пиритни руди</t>
  </si>
  <si>
    <t>D - 00035</t>
  </si>
  <si>
    <t>манганови руди</t>
  </si>
  <si>
    <t>D - 00036</t>
  </si>
  <si>
    <t>D - 00038</t>
  </si>
  <si>
    <t>варовици</t>
  </si>
  <si>
    <t>природен газ</t>
  </si>
  <si>
    <t>суров нефт</t>
  </si>
  <si>
    <t>№ 975 от 21.11.2012 г.</t>
  </si>
  <si>
    <t>№ 714 от 18.11.2013 г.</t>
  </si>
  <si>
    <t>"Девня цимент" АД, 
гр.Девня</t>
  </si>
  <si>
    <t>"Девня - Варовик" АД, с.Чернево</t>
  </si>
  <si>
    <t>Концесионери: 3   Концесии: 7</t>
  </si>
  <si>
    <t>Концесионери: 49  Концесии: 64</t>
  </si>
  <si>
    <t>Концесионери: 49  Концесии: 70</t>
  </si>
  <si>
    <t>Концесионери: 53  Концесии: 73</t>
  </si>
  <si>
    <t>Концесионери: 209  Концесии: 317</t>
  </si>
  <si>
    <t>Концесионери: 23   Концесии: 34</t>
  </si>
  <si>
    <t>Концесионери: 30  Концесии: 40</t>
  </si>
  <si>
    <t>Концесионери: 23  Концесии: 26</t>
  </si>
  <si>
    <t>Концесионери: 18   Концесии: 20</t>
  </si>
  <si>
    <t>Концесионери:  14   Концесии: 26</t>
  </si>
  <si>
    <t>Концесионери: 8   Концесии: 16</t>
  </si>
  <si>
    <t>Концесионери: 33  Концесии: 72</t>
  </si>
  <si>
    <t>неизпълнение на задъжения по договора</t>
  </si>
  <si>
    <t>едностранно прекратен договор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</si>
</sst>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#,##0.0"/>
    <numFmt numFmtId="174" formatCode="#,##0_]"/>
    <numFmt numFmtId="175" formatCode="0.0%"/>
    <numFmt numFmtId="176" formatCode="#,##0.0_]"/>
    <numFmt numFmtId="177" formatCode="#,##0.00_]"/>
    <numFmt numFmtId="178" formatCode="0.0"/>
    <numFmt numFmtId="179" formatCode="#,##0.000"/>
    <numFmt numFmtId="180" formatCode="0.000%"/>
    <numFmt numFmtId="181" formatCode="0.0000%"/>
    <numFmt numFmtId="182" formatCode="[$-10409]0.0"/>
    <numFmt numFmtId="183" formatCode="0.0000"/>
    <numFmt numFmtId="184" formatCode="0.00000"/>
  </numFmts>
  <fonts count="78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0"/>
      <name val="Arial"/>
      <family val="2"/>
    </font>
    <font>
      <b/>
      <i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ahoma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11"/>
      <color indexed="13"/>
      <name val="Tahoma"/>
      <family val="2"/>
    </font>
    <font>
      <sz val="10"/>
      <name val="Tahoma"/>
      <family val="2"/>
    </font>
    <font>
      <b/>
      <i/>
      <sz val="8"/>
      <name val="Tahoma"/>
      <family val="2"/>
    </font>
    <font>
      <b/>
      <i/>
      <sz val="8"/>
      <color indexed="8"/>
      <name val="Tahoma"/>
      <family val="2"/>
    </font>
    <font>
      <b/>
      <i/>
      <u val="single"/>
      <sz val="10"/>
      <name val="Tahoma"/>
      <family val="2"/>
    </font>
    <font>
      <b/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i/>
      <sz val="10"/>
      <name val="Arial"/>
      <family val="2"/>
    </font>
    <font>
      <i/>
      <sz val="8"/>
      <color indexed="8"/>
      <name val="Tahoma"/>
      <family val="2"/>
    </font>
    <font>
      <sz val="10"/>
      <color indexed="10"/>
      <name val="Tahoma"/>
      <family val="2"/>
    </font>
    <font>
      <b/>
      <sz val="8"/>
      <name val="Times New Roman CYR"/>
      <family val="1"/>
    </font>
    <font>
      <b/>
      <sz val="8"/>
      <name val="Arial"/>
      <family val="2"/>
    </font>
    <font>
      <sz val="8"/>
      <name val="Times New Roman Cyr"/>
      <family val="1"/>
    </font>
    <font>
      <b/>
      <sz val="11"/>
      <color indexed="8"/>
      <name val="Tahoma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9" fillId="3" borderId="0" applyNumberFormat="0" applyBorder="0" applyAlignment="0" applyProtection="0"/>
    <xf numFmtId="0" fontId="20" fillId="38" borderId="1" applyNumberFormat="0" applyAlignment="0" applyProtection="0"/>
    <xf numFmtId="0" fontId="21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30" fillId="38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0" fillId="48" borderId="10" applyNumberFormat="0" applyFont="0" applyAlignment="0" applyProtection="0"/>
    <xf numFmtId="0" fontId="63" fillId="49" borderId="11" applyNumberFormat="0" applyAlignment="0" applyProtection="0"/>
    <xf numFmtId="0" fontId="64" fillId="5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51" borderId="15" applyNumberFormat="0" applyAlignment="0" applyProtection="0"/>
    <xf numFmtId="0" fontId="70" fillId="51" borderId="11" applyNumberFormat="0" applyAlignment="0" applyProtection="0"/>
    <xf numFmtId="0" fontId="71" fillId="52" borderId="16" applyNumberFormat="0" applyAlignment="0" applyProtection="0"/>
    <xf numFmtId="0" fontId="72" fillId="53" borderId="0" applyNumberFormat="0" applyBorder="0" applyAlignment="0" applyProtection="0"/>
    <xf numFmtId="0" fontId="73" fillId="5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0" borderId="18" applyNumberFormat="0" applyFill="0" applyAlignment="0" applyProtection="0"/>
  </cellStyleXfs>
  <cellXfs count="7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14" fontId="4" fillId="0" borderId="19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 quotePrefix="1">
      <alignment horizontal="left" wrapText="1"/>
    </xf>
    <xf numFmtId="0" fontId="6" fillId="0" borderId="19" xfId="0" applyFont="1" applyBorder="1" applyAlignment="1" quotePrefix="1">
      <alignment horizontal="left" wrapText="1"/>
    </xf>
    <xf numFmtId="0" fontId="5" fillId="0" borderId="19" xfId="0" applyFont="1" applyBorder="1" applyAlignment="1" quotePrefix="1">
      <alignment horizontal="center" wrapText="1"/>
    </xf>
    <xf numFmtId="0" fontId="3" fillId="0" borderId="20" xfId="0" applyFont="1" applyFill="1" applyBorder="1" applyAlignment="1" quotePrefix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 quotePrefix="1">
      <alignment horizontal="center" vertical="top" wrapText="1"/>
    </xf>
    <xf numFmtId="0" fontId="4" fillId="0" borderId="19" xfId="0" applyFont="1" applyFill="1" applyBorder="1" applyAlignment="1" quotePrefix="1">
      <alignment horizontal="center" wrapText="1"/>
    </xf>
    <xf numFmtId="0" fontId="5" fillId="0" borderId="19" xfId="0" applyFont="1" applyBorder="1" applyAlignment="1">
      <alignment horizontal="left" wrapText="1"/>
    </xf>
    <xf numFmtId="0" fontId="5" fillId="0" borderId="19" xfId="0" applyFont="1" applyBorder="1" applyAlignment="1" quotePrefix="1">
      <alignment horizontal="center" vertical="top" wrapText="1"/>
    </xf>
    <xf numFmtId="3" fontId="5" fillId="0" borderId="19" xfId="0" applyNumberFormat="1" applyFont="1" applyBorder="1" applyAlignment="1" quotePrefix="1">
      <alignment horizontal="center" wrapText="1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14" fontId="5" fillId="0" borderId="19" xfId="0" applyNumberFormat="1" applyFont="1" applyBorder="1" applyAlignment="1">
      <alignment horizontal="center" wrapText="1"/>
    </xf>
    <xf numFmtId="0" fontId="4" fillId="0" borderId="19" xfId="0" applyFont="1" applyFill="1" applyBorder="1" applyAlignment="1" quotePrefix="1">
      <alignment horizontal="left" wrapText="1"/>
    </xf>
    <xf numFmtId="0" fontId="3" fillId="0" borderId="19" xfId="0" applyFont="1" applyFill="1" applyBorder="1" applyAlignment="1" quotePrefix="1">
      <alignment horizontal="left" wrapText="1"/>
    </xf>
    <xf numFmtId="14" fontId="5" fillId="0" borderId="19" xfId="0" applyNumberFormat="1" applyFont="1" applyBorder="1" applyAlignment="1" quotePrefix="1">
      <alignment horizontal="center" wrapText="1"/>
    </xf>
    <xf numFmtId="0" fontId="14" fillId="0" borderId="0" xfId="0" applyFont="1" applyAlignment="1" quotePrefix="1">
      <alignment horizontal="left"/>
    </xf>
    <xf numFmtId="0" fontId="4" fillId="0" borderId="0" xfId="0" applyFont="1" applyFill="1" applyBorder="1" applyAlignment="1" quotePrefix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1" xfId="0" applyFont="1" applyBorder="1" applyAlignment="1" quotePrefix="1">
      <alignment horizontal="left" wrapText="1"/>
    </xf>
    <xf numFmtId="0" fontId="5" fillId="0" borderId="2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 quotePrefix="1">
      <alignment horizontal="center" wrapText="1"/>
    </xf>
    <xf numFmtId="0" fontId="6" fillId="0" borderId="22" xfId="0" applyFont="1" applyBorder="1" applyAlignment="1">
      <alignment wrapText="1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174" fontId="5" fillId="0" borderId="19" xfId="0" applyNumberFormat="1" applyFont="1" applyBorder="1" applyAlignment="1" quotePrefix="1">
      <alignment horizontal="center" wrapText="1"/>
    </xf>
    <xf numFmtId="174" fontId="5" fillId="0" borderId="19" xfId="0" applyNumberFormat="1" applyFont="1" applyBorder="1" applyAlignment="1" quotePrefix="1">
      <alignment horizontal="right"/>
    </xf>
    <xf numFmtId="174" fontId="5" fillId="0" borderId="21" xfId="0" applyNumberFormat="1" applyFont="1" applyBorder="1" applyAlignment="1" quotePrefix="1">
      <alignment horizontal="right"/>
    </xf>
    <xf numFmtId="174" fontId="6" fillId="0" borderId="19" xfId="0" applyNumberFormat="1" applyFont="1" applyBorder="1" applyAlignment="1" quotePrefix="1">
      <alignment horizontal="righ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 quotePrefix="1">
      <alignment horizontal="left" wrapText="1"/>
    </xf>
    <xf numFmtId="174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 quotePrefix="1">
      <alignment horizontal="center" wrapText="1"/>
    </xf>
    <xf numFmtId="174" fontId="6" fillId="0" borderId="22" xfId="0" applyNumberFormat="1" applyFont="1" applyBorder="1" applyAlignment="1" quotePrefix="1">
      <alignment horizontal="right"/>
    </xf>
    <xf numFmtId="174" fontId="5" fillId="0" borderId="19" xfId="0" applyNumberFormat="1" applyFont="1" applyBorder="1" applyAlignment="1" quotePrefix="1">
      <alignment horizontal="center"/>
    </xf>
    <xf numFmtId="174" fontId="5" fillId="0" borderId="19" xfId="0" applyNumberFormat="1" applyFont="1" applyBorder="1" applyAlignment="1">
      <alignment horizontal="right"/>
    </xf>
    <xf numFmtId="174" fontId="6" fillId="0" borderId="22" xfId="0" applyNumberFormat="1" applyFont="1" applyBorder="1" applyAlignment="1" quotePrefix="1">
      <alignment horizontal="center"/>
    </xf>
    <xf numFmtId="174" fontId="5" fillId="0" borderId="19" xfId="0" applyNumberFormat="1" applyFont="1" applyBorder="1" applyAlignment="1">
      <alignment horizontal="left"/>
    </xf>
    <xf numFmtId="174" fontId="5" fillId="0" borderId="19" xfId="0" applyNumberFormat="1" applyFont="1" applyBorder="1" applyAlignment="1" quotePrefix="1">
      <alignment horizontal="left"/>
    </xf>
    <xf numFmtId="174" fontId="6" fillId="0" borderId="19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6" fillId="0" borderId="19" xfId="0" applyFont="1" applyBorder="1" applyAlignment="1">
      <alignment horizontal="left" wrapText="1"/>
    </xf>
    <xf numFmtId="0" fontId="10" fillId="6" borderId="23" xfId="80" applyFont="1" applyFill="1" applyBorder="1" applyAlignment="1" quotePrefix="1">
      <alignment horizontal="center" vertical="center" wrapText="1"/>
      <protection/>
    </xf>
    <xf numFmtId="0" fontId="9" fillId="6" borderId="23" xfId="80" applyFont="1" applyFill="1" applyBorder="1" applyAlignment="1">
      <alignment horizontal="center" vertical="center" wrapText="1"/>
      <protection/>
    </xf>
    <xf numFmtId="0" fontId="16" fillId="0" borderId="0" xfId="0" applyFont="1" applyFill="1" applyAlignment="1" quotePrefix="1">
      <alignment horizontal="right"/>
    </xf>
    <xf numFmtId="0" fontId="5" fillId="0" borderId="0" xfId="88" applyFont="1">
      <alignment/>
      <protection/>
    </xf>
    <xf numFmtId="0" fontId="35" fillId="6" borderId="23" xfId="80" applyFont="1" applyFill="1" applyBorder="1" applyAlignment="1">
      <alignment horizontal="center" vertical="center" wrapText="1"/>
      <protection/>
    </xf>
    <xf numFmtId="0" fontId="35" fillId="6" borderId="23" xfId="80" applyFont="1" applyFill="1" applyBorder="1" applyAlignment="1" quotePrefix="1">
      <alignment horizontal="center" vertical="center" wrapText="1"/>
      <protection/>
    </xf>
    <xf numFmtId="0" fontId="36" fillId="55" borderId="24" xfId="88" applyFont="1" applyFill="1" applyBorder="1" applyAlignment="1">
      <alignment horizontal="center" vertical="center" wrapText="1"/>
      <protection/>
    </xf>
    <xf numFmtId="0" fontId="35" fillId="55" borderId="24" xfId="88" applyFont="1" applyFill="1" applyBorder="1" applyAlignment="1" quotePrefix="1">
      <alignment horizontal="left" vertical="center" wrapText="1"/>
      <protection/>
    </xf>
    <xf numFmtId="0" fontId="35" fillId="55" borderId="24" xfId="88" applyFont="1" applyFill="1" applyBorder="1" applyAlignment="1" quotePrefix="1">
      <alignment horizontal="center" wrapText="1"/>
      <protection/>
    </xf>
    <xf numFmtId="176" fontId="9" fillId="55" borderId="24" xfId="88" applyNumberFormat="1" applyFont="1" applyFill="1" applyBorder="1" applyAlignment="1">
      <alignment horizontal="right"/>
      <protection/>
    </xf>
    <xf numFmtId="0" fontId="37" fillId="55" borderId="24" xfId="88" applyFont="1" applyFill="1" applyBorder="1" applyAlignment="1" quotePrefix="1">
      <alignment horizontal="left" vertical="center" wrapText="1"/>
      <protection/>
    </xf>
    <xf numFmtId="0" fontId="37" fillId="55" borderId="24" xfId="88" applyFont="1" applyFill="1" applyBorder="1" applyAlignment="1" quotePrefix="1">
      <alignment horizontal="center" wrapText="1"/>
      <protection/>
    </xf>
    <xf numFmtId="176" fontId="36" fillId="55" borderId="24" xfId="88" applyNumberFormat="1" applyFont="1" applyFill="1" applyBorder="1" applyAlignment="1">
      <alignment horizontal="right"/>
      <protection/>
    </xf>
    <xf numFmtId="10" fontId="36" fillId="55" borderId="24" xfId="91" applyNumberFormat="1" applyFont="1" applyFill="1" applyBorder="1" applyAlignment="1">
      <alignment horizontal="right"/>
    </xf>
    <xf numFmtId="0" fontId="37" fillId="55" borderId="24" xfId="88" applyFont="1" applyFill="1" applyBorder="1" applyAlignment="1" quotePrefix="1">
      <alignment horizontal="left" vertical="center" wrapText="1" indent="1"/>
      <protection/>
    </xf>
    <xf numFmtId="0" fontId="9" fillId="55" borderId="24" xfId="88" applyFont="1" applyFill="1" applyBorder="1" applyAlignment="1">
      <alignment horizontal="center" vertical="top" wrapText="1"/>
      <protection/>
    </xf>
    <xf numFmtId="0" fontId="9" fillId="55" borderId="24" xfId="88" applyFont="1" applyFill="1" applyBorder="1" applyAlignment="1">
      <alignment horizontal="center" vertical="center" wrapText="1"/>
      <protection/>
    </xf>
    <xf numFmtId="0" fontId="10" fillId="55" borderId="24" xfId="88" applyFont="1" applyFill="1" applyBorder="1" applyAlignment="1">
      <alignment horizontal="left" vertical="center" wrapText="1"/>
      <protection/>
    </xf>
    <xf numFmtId="0" fontId="9" fillId="55" borderId="24" xfId="88" applyFont="1" applyFill="1" applyBorder="1" applyAlignment="1" quotePrefix="1">
      <alignment horizontal="center" vertical="center" wrapText="1"/>
      <protection/>
    </xf>
    <xf numFmtId="0" fontId="11" fillId="55" borderId="24" xfId="88" applyFont="1" applyFill="1" applyBorder="1" applyAlignment="1">
      <alignment horizontal="left" vertical="center" wrapText="1" indent="1"/>
      <protection/>
    </xf>
    <xf numFmtId="0" fontId="36" fillId="55" borderId="24" xfId="88" applyFont="1" applyFill="1" applyBorder="1" applyAlignment="1" quotePrefix="1">
      <alignment horizontal="center" vertical="center" wrapText="1"/>
      <protection/>
    </xf>
    <xf numFmtId="0" fontId="36" fillId="55" borderId="24" xfId="88" applyFont="1" applyFill="1" applyBorder="1" applyAlignment="1" quotePrefix="1">
      <alignment horizontal="center" wrapText="1"/>
      <protection/>
    </xf>
    <xf numFmtId="0" fontId="35" fillId="55" borderId="24" xfId="88" applyFont="1" applyFill="1" applyBorder="1" applyAlignment="1">
      <alignment horizontal="left" vertical="center" wrapText="1"/>
      <protection/>
    </xf>
    <xf numFmtId="0" fontId="5" fillId="0" borderId="0" xfId="88" applyFont="1" applyAlignment="1">
      <alignment horizontal="center"/>
      <protection/>
    </xf>
    <xf numFmtId="0" fontId="34" fillId="0" borderId="0" xfId="80" applyFont="1" applyBorder="1" applyAlignment="1">
      <alignment horizontal="left" vertical="center" wrapText="1"/>
      <protection/>
    </xf>
    <xf numFmtId="0" fontId="34" fillId="0" borderId="0" xfId="80" applyFont="1" applyBorder="1" applyAlignment="1" quotePrefix="1">
      <alignment horizontal="left" vertical="center"/>
      <protection/>
    </xf>
    <xf numFmtId="0" fontId="39" fillId="0" borderId="0" xfId="80" applyFont="1" applyBorder="1" applyAlignment="1">
      <alignment horizontal="right" vertical="center"/>
      <protection/>
    </xf>
    <xf numFmtId="0" fontId="0" fillId="0" borderId="0" xfId="80">
      <alignment/>
      <protection/>
    </xf>
    <xf numFmtId="0" fontId="42" fillId="55" borderId="24" xfId="80" applyFont="1" applyFill="1" applyBorder="1" applyAlignment="1">
      <alignment horizontal="left" vertical="center" wrapText="1"/>
      <protection/>
    </xf>
    <xf numFmtId="3" fontId="42" fillId="55" borderId="24" xfId="80" applyNumberFormat="1" applyFont="1" applyFill="1" applyBorder="1" applyAlignment="1">
      <alignment horizontal="center" vertical="center" wrapText="1"/>
      <protection/>
    </xf>
    <xf numFmtId="3" fontId="42" fillId="55" borderId="24" xfId="80" applyNumberFormat="1" applyFont="1" applyFill="1" applyBorder="1" applyAlignment="1">
      <alignment horizontal="right" vertical="center" wrapText="1"/>
      <protection/>
    </xf>
    <xf numFmtId="3" fontId="42" fillId="55" borderId="24" xfId="85" applyNumberFormat="1" applyFont="1" applyFill="1" applyBorder="1" applyAlignment="1">
      <alignment horizontal="right" vertical="center" wrapText="1"/>
      <protection/>
    </xf>
    <xf numFmtId="175" fontId="41" fillId="0" borderId="0" xfId="91" applyNumberFormat="1" applyFont="1" applyAlignment="1">
      <alignment/>
    </xf>
    <xf numFmtId="0" fontId="42" fillId="55" borderId="24" xfId="80" applyFont="1" applyFill="1" applyBorder="1" applyAlignment="1" quotePrefix="1">
      <alignment horizontal="left" vertical="center" wrapText="1"/>
      <protection/>
    </xf>
    <xf numFmtId="3" fontId="12" fillId="55" borderId="24" xfId="85" applyNumberFormat="1" applyFont="1" applyFill="1" applyBorder="1" applyAlignment="1">
      <alignment horizontal="right" vertical="center" wrapText="1"/>
      <protection/>
    </xf>
    <xf numFmtId="3" fontId="12" fillId="0" borderId="24" xfId="88" applyNumberFormat="1" applyFont="1" applyBorder="1" applyAlignment="1">
      <alignment horizontal="right" wrapText="1"/>
      <protection/>
    </xf>
    <xf numFmtId="0" fontId="42" fillId="55" borderId="24" xfId="80" applyFont="1" applyFill="1" applyBorder="1" applyAlignment="1" quotePrefix="1">
      <alignment horizontal="left" vertical="center" wrapText="1" indent="1"/>
      <protection/>
    </xf>
    <xf numFmtId="4" fontId="12" fillId="0" borderId="24" xfId="88" applyNumberFormat="1" applyFont="1" applyBorder="1" applyAlignment="1">
      <alignment horizontal="right" wrapText="1"/>
      <protection/>
    </xf>
    <xf numFmtId="3" fontId="12" fillId="0" borderId="24" xfId="88" applyNumberFormat="1" applyFont="1" applyBorder="1" applyAlignment="1">
      <alignment horizontal="right"/>
      <protection/>
    </xf>
    <xf numFmtId="2" fontId="12" fillId="0" borderId="24" xfId="88" applyNumberFormat="1" applyFont="1" applyBorder="1" applyAlignment="1">
      <alignment horizontal="right" wrapText="1"/>
      <protection/>
    </xf>
    <xf numFmtId="0" fontId="12" fillId="0" borderId="24" xfId="88" applyFont="1" applyBorder="1" applyAlignment="1">
      <alignment horizontal="right" wrapText="1"/>
      <protection/>
    </xf>
    <xf numFmtId="0" fontId="42" fillId="55" borderId="24" xfId="80" applyFont="1" applyFill="1" applyBorder="1" applyAlignment="1">
      <alignment horizontal="left" vertical="center" wrapText="1" indent="1"/>
      <protection/>
    </xf>
    <xf numFmtId="49" fontId="42" fillId="56" borderId="23" xfId="88" applyNumberFormat="1" applyFont="1" applyFill="1" applyBorder="1" applyAlignment="1">
      <alignment horizontal="center" vertical="center" wrapText="1"/>
      <protection/>
    </xf>
    <xf numFmtId="0" fontId="42" fillId="56" borderId="23" xfId="88" applyFont="1" applyFill="1" applyBorder="1" applyAlignment="1">
      <alignment horizontal="center" vertical="center" wrapText="1"/>
      <protection/>
    </xf>
    <xf numFmtId="0" fontId="42" fillId="55" borderId="24" xfId="88" applyFont="1" applyFill="1" applyBorder="1" applyAlignment="1">
      <alignment horizontal="left" vertical="center" wrapText="1"/>
      <protection/>
    </xf>
    <xf numFmtId="3" fontId="42" fillId="55" borderId="25" xfId="88" applyNumberFormat="1" applyFont="1" applyFill="1" applyBorder="1" applyAlignment="1">
      <alignment horizontal="center" vertical="center" wrapText="1"/>
      <protection/>
    </xf>
    <xf numFmtId="3" fontId="42" fillId="55" borderId="25" xfId="88" applyNumberFormat="1" applyFont="1" applyFill="1" applyBorder="1" applyAlignment="1">
      <alignment vertical="center" wrapText="1"/>
      <protection/>
    </xf>
    <xf numFmtId="3" fontId="42" fillId="55" borderId="25" xfId="88" applyNumberFormat="1" applyFont="1" applyFill="1" applyBorder="1" applyAlignment="1">
      <alignment horizontal="right" vertical="center" wrapText="1"/>
      <protection/>
    </xf>
    <xf numFmtId="3" fontId="42" fillId="55" borderId="24" xfId="88" applyNumberFormat="1" applyFont="1" applyFill="1" applyBorder="1" applyAlignment="1">
      <alignment vertical="center" wrapText="1"/>
      <protection/>
    </xf>
    <xf numFmtId="0" fontId="42" fillId="55" borderId="24" xfId="88" applyFont="1" applyFill="1" applyBorder="1" applyAlignment="1">
      <alignment horizontal="center" vertical="center" wrapText="1"/>
      <protection/>
    </xf>
    <xf numFmtId="0" fontId="42" fillId="55" borderId="24" xfId="88" applyFont="1" applyFill="1" applyBorder="1" applyAlignment="1">
      <alignment horizontal="right" vertical="center" wrapText="1"/>
      <protection/>
    </xf>
    <xf numFmtId="0" fontId="42" fillId="55" borderId="24" xfId="88" applyFont="1" applyFill="1" applyBorder="1" applyAlignment="1">
      <alignment vertical="center" wrapText="1"/>
      <protection/>
    </xf>
    <xf numFmtId="0" fontId="42" fillId="6" borderId="26" xfId="88" applyFont="1" applyFill="1" applyBorder="1" applyAlignment="1">
      <alignment horizontal="center" vertical="center" wrapText="1"/>
      <protection/>
    </xf>
    <xf numFmtId="0" fontId="42" fillId="55" borderId="24" xfId="88" applyFont="1" applyFill="1" applyBorder="1" applyAlignment="1" quotePrefix="1">
      <alignment horizontal="left" vertical="center" wrapText="1"/>
      <protection/>
    </xf>
    <xf numFmtId="3" fontId="42" fillId="55" borderId="24" xfId="88" applyNumberFormat="1" applyFont="1" applyFill="1" applyBorder="1" applyAlignment="1">
      <alignment horizontal="right" vertical="center" wrapText="1"/>
      <protection/>
    </xf>
    <xf numFmtId="49" fontId="42" fillId="56" borderId="24" xfId="88" applyNumberFormat="1" applyFont="1" applyFill="1" applyBorder="1" applyAlignment="1">
      <alignment horizontal="center" vertical="center" wrapText="1"/>
      <protection/>
    </xf>
    <xf numFmtId="0" fontId="42" fillId="56" borderId="24" xfId="88" applyFont="1" applyFill="1" applyBorder="1" applyAlignment="1">
      <alignment horizontal="center" vertical="center" wrapText="1"/>
      <protection/>
    </xf>
    <xf numFmtId="3" fontId="42" fillId="55" borderId="24" xfId="88" applyNumberFormat="1" applyFont="1" applyFill="1" applyBorder="1" applyAlignment="1">
      <alignment horizontal="center" vertical="center" wrapText="1"/>
      <protection/>
    </xf>
    <xf numFmtId="0" fontId="42" fillId="55" borderId="24" xfId="85" applyNumberFormat="1" applyFont="1" applyFill="1" applyBorder="1" applyAlignment="1">
      <alignment horizontal="center" vertical="center" wrapText="1"/>
      <protection/>
    </xf>
    <xf numFmtId="0" fontId="42" fillId="55" borderId="24" xfId="88" applyNumberFormat="1" applyFont="1" applyFill="1" applyBorder="1" applyAlignment="1">
      <alignment vertical="center" wrapText="1"/>
      <protection/>
    </xf>
    <xf numFmtId="0" fontId="12" fillId="0" borderId="24" xfId="88" applyNumberFormat="1" applyFont="1" applyBorder="1" applyAlignment="1" quotePrefix="1">
      <alignment vertical="center"/>
      <protection/>
    </xf>
    <xf numFmtId="0" fontId="42" fillId="55" borderId="23" xfId="88" applyFont="1" applyFill="1" applyBorder="1" applyAlignment="1" quotePrefix="1">
      <alignment horizontal="left" vertical="center" wrapText="1"/>
      <protection/>
    </xf>
    <xf numFmtId="0" fontId="42" fillId="55" borderId="23" xfId="85" applyNumberFormat="1" applyFont="1" applyFill="1" applyBorder="1" applyAlignment="1">
      <alignment horizontal="center" vertical="center" wrapText="1"/>
      <protection/>
    </xf>
    <xf numFmtId="0" fontId="42" fillId="55" borderId="23" xfId="88" applyFont="1" applyFill="1" applyBorder="1" applyAlignment="1">
      <alignment horizontal="left" vertical="center" wrapText="1"/>
      <protection/>
    </xf>
    <xf numFmtId="0" fontId="42" fillId="55" borderId="24" xfId="88" applyNumberFormat="1" applyFont="1" applyFill="1" applyBorder="1" applyAlignment="1">
      <alignment horizontal="right" vertical="center" wrapText="1"/>
      <protection/>
    </xf>
    <xf numFmtId="0" fontId="12" fillId="0" borderId="24" xfId="88" applyNumberFormat="1" applyFont="1" applyBorder="1" applyAlignment="1" quotePrefix="1">
      <alignment horizontal="right" vertical="center"/>
      <protection/>
    </xf>
    <xf numFmtId="0" fontId="0" fillId="0" borderId="0" xfId="80" applyAlignment="1">
      <alignment horizontal="center"/>
      <protection/>
    </xf>
    <xf numFmtId="0" fontId="39" fillId="0" borderId="0" xfId="80" applyFont="1" applyBorder="1" applyAlignment="1" quotePrefix="1">
      <alignment horizontal="right" vertical="center"/>
      <protection/>
    </xf>
    <xf numFmtId="0" fontId="34" fillId="0" borderId="0" xfId="88" applyFont="1" applyAlignment="1" quotePrefix="1">
      <alignment horizontal="left"/>
      <protection/>
    </xf>
    <xf numFmtId="0" fontId="44" fillId="0" borderId="0" xfId="88" applyFont="1">
      <alignment/>
      <protection/>
    </xf>
    <xf numFmtId="0" fontId="12" fillId="0" borderId="0" xfId="88" applyFont="1" applyBorder="1" applyAlignment="1">
      <alignment horizontal="right"/>
      <protection/>
    </xf>
    <xf numFmtId="0" fontId="12" fillId="0" borderId="0" xfId="88" applyFont="1" applyBorder="1" applyAlignment="1" quotePrefix="1">
      <alignment horizontal="right"/>
      <protection/>
    </xf>
    <xf numFmtId="0" fontId="13" fillId="0" borderId="24" xfId="88" applyFont="1" applyFill="1" applyBorder="1" applyAlignment="1">
      <alignment horizontal="left" vertical="center"/>
      <protection/>
    </xf>
    <xf numFmtId="176" fontId="13" fillId="0" borderId="24" xfId="88" applyNumberFormat="1" applyFont="1" applyFill="1" applyBorder="1" applyAlignment="1">
      <alignment horizontal="right" vertical="center"/>
      <protection/>
    </xf>
    <xf numFmtId="0" fontId="45" fillId="0" borderId="24" xfId="88" applyFont="1" applyFill="1" applyBorder="1" applyAlignment="1">
      <alignment horizontal="left" vertical="center" indent="1"/>
      <protection/>
    </xf>
    <xf numFmtId="176" fontId="12" fillId="0" borderId="24" xfId="88" applyNumberFormat="1" applyFont="1" applyFill="1" applyBorder="1" applyAlignment="1">
      <alignment horizontal="right" vertical="center"/>
      <protection/>
    </xf>
    <xf numFmtId="176" fontId="42" fillId="55" borderId="24" xfId="80" applyNumberFormat="1" applyFont="1" applyFill="1" applyBorder="1" applyAlignment="1">
      <alignment horizontal="right" vertical="center"/>
      <protection/>
    </xf>
    <xf numFmtId="0" fontId="12" fillId="0" borderId="24" xfId="88" applyFont="1" applyFill="1" applyBorder="1" applyAlignment="1">
      <alignment horizontal="left" vertical="center" indent="2"/>
      <protection/>
    </xf>
    <xf numFmtId="176" fontId="42" fillId="55" borderId="24" xfId="85" applyNumberFormat="1" applyFont="1" applyFill="1" applyBorder="1" applyAlignment="1">
      <alignment horizontal="right" vertical="center"/>
      <protection/>
    </xf>
    <xf numFmtId="0" fontId="45" fillId="0" borderId="24" xfId="88" applyFont="1" applyFill="1" applyBorder="1" applyAlignment="1">
      <alignment vertical="center"/>
      <protection/>
    </xf>
    <xf numFmtId="0" fontId="12" fillId="0" borderId="24" xfId="88" applyFont="1" applyFill="1" applyBorder="1" applyAlignment="1" quotePrefix="1">
      <alignment horizontal="left" vertical="center" indent="1"/>
      <protection/>
    </xf>
    <xf numFmtId="0" fontId="12" fillId="0" borderId="24" xfId="88" applyFont="1" applyFill="1" applyBorder="1" applyAlignment="1">
      <alignment horizontal="left" vertical="center" indent="1"/>
      <protection/>
    </xf>
    <xf numFmtId="0" fontId="13" fillId="0" borderId="24" xfId="88" applyFont="1" applyFill="1" applyBorder="1" applyAlignment="1" quotePrefix="1">
      <alignment horizontal="left" vertical="center"/>
      <protection/>
    </xf>
    <xf numFmtId="3" fontId="42" fillId="55" borderId="24" xfId="80" applyNumberFormat="1" applyFont="1" applyFill="1" applyBorder="1" applyAlignment="1">
      <alignment horizontal="right" vertical="center" wrapText="1"/>
      <protection/>
    </xf>
    <xf numFmtId="3" fontId="42" fillId="55" borderId="24" xfId="85" applyNumberFormat="1" applyFont="1" applyFill="1" applyBorder="1" applyAlignment="1">
      <alignment horizontal="right" vertical="center" wrapText="1"/>
      <protection/>
    </xf>
    <xf numFmtId="0" fontId="34" fillId="0" borderId="0" xfId="80" applyFont="1" applyBorder="1" applyAlignment="1" quotePrefix="1">
      <alignment horizontal="left" vertical="center"/>
      <protection/>
    </xf>
    <xf numFmtId="0" fontId="34" fillId="0" borderId="0" xfId="80" applyFont="1" applyBorder="1" applyAlignment="1">
      <alignment horizontal="left" vertical="center" wrapText="1"/>
      <protection/>
    </xf>
    <xf numFmtId="0" fontId="44" fillId="0" borderId="0" xfId="77" applyFont="1">
      <alignment/>
      <protection/>
    </xf>
    <xf numFmtId="0" fontId="13" fillId="56" borderId="27" xfId="79" applyFont="1" applyFill="1" applyBorder="1" applyAlignment="1" quotePrefix="1">
      <alignment horizontal="center" vertical="center"/>
      <protection/>
    </xf>
    <xf numFmtId="0" fontId="13" fillId="56" borderId="27" xfId="79" applyFont="1" applyFill="1" applyBorder="1" applyAlignment="1">
      <alignment horizontal="center" vertical="center"/>
      <protection/>
    </xf>
    <xf numFmtId="0" fontId="13" fillId="0" borderId="27" xfId="79" applyFont="1" applyBorder="1" applyAlignment="1" quotePrefix="1">
      <alignment horizontal="left" wrapText="1"/>
      <protection/>
    </xf>
    <xf numFmtId="173" fontId="13" fillId="0" borderId="27" xfId="79" applyNumberFormat="1" applyFont="1" applyBorder="1">
      <alignment/>
      <protection/>
    </xf>
    <xf numFmtId="9" fontId="13" fillId="0" borderId="27" xfId="91" applyNumberFormat="1" applyFont="1" applyBorder="1" applyAlignment="1">
      <alignment horizontal="center"/>
    </xf>
    <xf numFmtId="3" fontId="39" fillId="0" borderId="0" xfId="77" applyNumberFormat="1" applyFont="1">
      <alignment/>
      <protection/>
    </xf>
    <xf numFmtId="0" fontId="42" fillId="55" borderId="24" xfId="88" applyFont="1" applyFill="1" applyBorder="1" applyAlignment="1" quotePrefix="1">
      <alignment horizontal="left" vertical="center" wrapText="1"/>
      <protection/>
    </xf>
    <xf numFmtId="173" fontId="12" fillId="0" borderId="27" xfId="79" applyNumberFormat="1" applyFont="1" applyBorder="1">
      <alignment/>
      <protection/>
    </xf>
    <xf numFmtId="175" fontId="12" fillId="0" borderId="27" xfId="91" applyNumberFormat="1" applyFont="1" applyBorder="1" applyAlignment="1">
      <alignment horizontal="center"/>
    </xf>
    <xf numFmtId="3" fontId="44" fillId="0" borderId="0" xfId="77" applyNumberFormat="1" applyFont="1">
      <alignment/>
      <protection/>
    </xf>
    <xf numFmtId="175" fontId="44" fillId="0" borderId="0" xfId="91" applyNumberFormat="1" applyFont="1" applyAlignment="1">
      <alignment/>
    </xf>
    <xf numFmtId="0" fontId="46" fillId="55" borderId="24" xfId="88" applyFont="1" applyFill="1" applyBorder="1" applyAlignment="1" quotePrefix="1">
      <alignment horizontal="left" vertical="center" wrapText="1" indent="1"/>
      <protection/>
    </xf>
    <xf numFmtId="0" fontId="42" fillId="55" borderId="24" xfId="88" applyFont="1" applyFill="1" applyBorder="1" applyAlignment="1" quotePrefix="1">
      <alignment horizontal="left" vertical="center" wrapText="1" indent="1"/>
      <protection/>
    </xf>
    <xf numFmtId="0" fontId="42" fillId="55" borderId="24" xfId="88" applyFont="1" applyFill="1" applyBorder="1" applyAlignment="1">
      <alignment horizontal="left" vertical="center" wrapText="1" indent="1"/>
      <protection/>
    </xf>
    <xf numFmtId="0" fontId="46" fillId="55" borderId="24" xfId="88" applyFont="1" applyFill="1" applyBorder="1" applyAlignment="1">
      <alignment horizontal="left" vertical="center" wrapText="1" indent="1"/>
      <protection/>
    </xf>
    <xf numFmtId="0" fontId="47" fillId="0" borderId="0" xfId="77" applyFont="1" applyAlignment="1" quotePrefix="1">
      <alignment horizontal="left"/>
      <protection/>
    </xf>
    <xf numFmtId="0" fontId="44" fillId="0" borderId="0" xfId="77" applyFont="1" applyAlignment="1" quotePrefix="1">
      <alignment horizontal="left"/>
      <protection/>
    </xf>
    <xf numFmtId="0" fontId="13" fillId="0" borderId="27" xfId="79" applyFont="1" applyBorder="1" applyAlignment="1">
      <alignment horizontal="left" wrapText="1"/>
      <protection/>
    </xf>
    <xf numFmtId="3" fontId="13" fillId="0" borderId="27" xfId="79" applyNumberFormat="1" applyFont="1" applyBorder="1">
      <alignment/>
      <protection/>
    </xf>
    <xf numFmtId="0" fontId="12" fillId="0" borderId="0" xfId="88" applyFont="1" applyAlignment="1" quotePrefix="1">
      <alignment horizontal="left"/>
      <protection/>
    </xf>
    <xf numFmtId="0" fontId="40" fillId="55" borderId="24" xfId="88" applyFont="1" applyFill="1" applyBorder="1" applyAlignment="1" quotePrefix="1">
      <alignment horizontal="left" vertical="center" wrapText="1"/>
      <protection/>
    </xf>
    <xf numFmtId="3" fontId="12" fillId="0" borderId="27" xfId="79" applyNumberFormat="1" applyFont="1" applyBorder="1">
      <alignment/>
      <protection/>
    </xf>
    <xf numFmtId="49" fontId="12" fillId="0" borderId="27" xfId="79" applyNumberFormat="1" applyFont="1" applyBorder="1" applyAlignment="1" quotePrefix="1">
      <alignment horizontal="left" wrapText="1"/>
      <protection/>
    </xf>
    <xf numFmtId="0" fontId="40" fillId="55" borderId="24" xfId="88" applyFont="1" applyFill="1" applyBorder="1" applyAlignment="1">
      <alignment horizontal="left" vertical="center" wrapText="1" indent="1"/>
      <protection/>
    </xf>
    <xf numFmtId="0" fontId="46" fillId="55" borderId="24" xfId="88" applyFont="1" applyFill="1" applyBorder="1" applyAlignment="1">
      <alignment horizontal="left" vertical="center" wrapText="1" indent="2"/>
      <protection/>
    </xf>
    <xf numFmtId="0" fontId="42" fillId="55" borderId="24" xfId="88" applyFont="1" applyFill="1" applyBorder="1" applyAlignment="1" quotePrefix="1">
      <alignment horizontal="left" vertical="center" wrapText="1" indent="3"/>
      <protection/>
    </xf>
    <xf numFmtId="0" fontId="42" fillId="55" borderId="24" xfId="88" applyFont="1" applyFill="1" applyBorder="1" applyAlignment="1">
      <alignment horizontal="left" vertical="center" wrapText="1" indent="4"/>
      <protection/>
    </xf>
    <xf numFmtId="0" fontId="12" fillId="0" borderId="27" xfId="88" applyFont="1" applyBorder="1">
      <alignment/>
      <protection/>
    </xf>
    <xf numFmtId="0" fontId="42" fillId="55" borderId="24" xfId="88" applyFont="1" applyFill="1" applyBorder="1" applyAlignment="1" quotePrefix="1">
      <alignment horizontal="left" vertical="center" wrapText="1" indent="4"/>
      <protection/>
    </xf>
    <xf numFmtId="3" fontId="12" fillId="0" borderId="27" xfId="79" applyNumberFormat="1" applyFont="1" applyBorder="1" applyAlignment="1">
      <alignment horizontal="right"/>
      <protection/>
    </xf>
    <xf numFmtId="3" fontId="12" fillId="0" borderId="27" xfId="79" applyNumberFormat="1" applyFont="1" applyBorder="1" applyAlignment="1">
      <alignment horizontal="center"/>
      <protection/>
    </xf>
    <xf numFmtId="0" fontId="42" fillId="0" borderId="27" xfId="88" applyFont="1" applyFill="1" applyBorder="1" applyAlignment="1">
      <alignment/>
      <protection/>
    </xf>
    <xf numFmtId="0" fontId="34" fillId="0" borderId="0" xfId="88" applyFont="1" applyAlignment="1" quotePrefix="1">
      <alignment horizontal="left"/>
      <protection/>
    </xf>
    <xf numFmtId="0" fontId="12" fillId="0" borderId="0" xfId="88" applyFont="1" applyBorder="1" applyAlignment="1">
      <alignment horizontal="right"/>
      <protection/>
    </xf>
    <xf numFmtId="0" fontId="12" fillId="0" borderId="0" xfId="88" applyFont="1" applyBorder="1" applyAlignment="1" quotePrefix="1">
      <alignment horizontal="right"/>
      <protection/>
    </xf>
    <xf numFmtId="0" fontId="48" fillId="0" borderId="0" xfId="88" applyFont="1">
      <alignment/>
      <protection/>
    </xf>
    <xf numFmtId="0" fontId="13" fillId="0" borderId="0" xfId="88" applyFont="1" applyAlignment="1" quotePrefix="1">
      <alignment horizontal="right"/>
      <protection/>
    </xf>
    <xf numFmtId="0" fontId="44" fillId="0" borderId="0" xfId="79" applyFont="1">
      <alignment/>
      <protection/>
    </xf>
    <xf numFmtId="0" fontId="13" fillId="56" borderId="27" xfId="79" applyFont="1" applyFill="1" applyBorder="1" applyAlignment="1" quotePrefix="1">
      <alignment horizontal="center" vertical="center"/>
      <protection/>
    </xf>
    <xf numFmtId="0" fontId="13" fillId="56" borderId="27" xfId="79" applyFont="1" applyFill="1" applyBorder="1" applyAlignment="1">
      <alignment horizontal="center" vertical="center"/>
      <protection/>
    </xf>
    <xf numFmtId="0" fontId="13" fillId="0" borderId="27" xfId="79" applyFont="1" applyBorder="1" applyAlignment="1" quotePrefix="1">
      <alignment horizontal="left"/>
      <protection/>
    </xf>
    <xf numFmtId="3" fontId="13" fillId="0" borderId="27" xfId="79" applyNumberFormat="1" applyFont="1" applyBorder="1">
      <alignment/>
      <protection/>
    </xf>
    <xf numFmtId="9" fontId="13" fillId="0" borderId="27" xfId="91" applyFont="1" applyBorder="1" applyAlignment="1">
      <alignment horizontal="center"/>
    </xf>
    <xf numFmtId="49" fontId="12" fillId="0" borderId="27" xfId="79" applyNumberFormat="1" applyFont="1" applyBorder="1" applyAlignment="1">
      <alignment horizontal="left" wrapText="1" indent="1"/>
      <protection/>
    </xf>
    <xf numFmtId="3" fontId="12" fillId="0" borderId="27" xfId="79" applyNumberFormat="1" applyFont="1" applyBorder="1">
      <alignment/>
      <protection/>
    </xf>
    <xf numFmtId="175" fontId="12" fillId="0" borderId="27" xfId="91" applyNumberFormat="1" applyFont="1" applyBorder="1" applyAlignment="1">
      <alignment horizontal="center"/>
    </xf>
    <xf numFmtId="49" fontId="12" fillId="0" borderId="27" xfId="79" applyNumberFormat="1" applyFont="1" applyBorder="1" applyAlignment="1" quotePrefix="1">
      <alignment horizontal="left" wrapText="1" indent="1"/>
      <protection/>
    </xf>
    <xf numFmtId="49" fontId="12" fillId="0" borderId="27" xfId="79" applyNumberFormat="1" applyFont="1" applyBorder="1" applyAlignment="1" quotePrefix="1">
      <alignment horizontal="left" wrapText="1" indent="2"/>
      <protection/>
    </xf>
    <xf numFmtId="49" fontId="12" fillId="0" borderId="27" xfId="79" applyNumberFormat="1" applyFont="1" applyBorder="1" applyAlignment="1">
      <alignment horizontal="left" wrapText="1" indent="2"/>
      <protection/>
    </xf>
    <xf numFmtId="49" fontId="13" fillId="0" borderId="27" xfId="79" applyNumberFormat="1" applyFont="1" applyBorder="1" applyAlignment="1" quotePrefix="1">
      <alignment horizontal="left" wrapText="1"/>
      <protection/>
    </xf>
    <xf numFmtId="175" fontId="13" fillId="0" borderId="27" xfId="91" applyNumberFormat="1" applyFont="1" applyBorder="1" applyAlignment="1">
      <alignment horizontal="center"/>
    </xf>
    <xf numFmtId="10" fontId="12" fillId="0" borderId="27" xfId="91" applyNumberFormat="1" applyFont="1" applyBorder="1" applyAlignment="1">
      <alignment horizontal="center"/>
    </xf>
    <xf numFmtId="175" fontId="44" fillId="0" borderId="0" xfId="91" applyNumberFormat="1" applyFont="1" applyAlignment="1">
      <alignment/>
    </xf>
    <xf numFmtId="1" fontId="12" fillId="0" borderId="27" xfId="88" applyNumberFormat="1" applyFont="1" applyBorder="1">
      <alignment/>
      <protection/>
    </xf>
    <xf numFmtId="3" fontId="12" fillId="0" borderId="27" xfId="79" applyNumberFormat="1" applyFont="1" applyBorder="1" applyAlignment="1">
      <alignment horizontal="right"/>
      <protection/>
    </xf>
    <xf numFmtId="49" fontId="13" fillId="0" borderId="27" xfId="79" applyNumberFormat="1" applyFont="1" applyBorder="1" applyAlignment="1">
      <alignment wrapText="1"/>
      <protection/>
    </xf>
    <xf numFmtId="10" fontId="13" fillId="0" borderId="27" xfId="91" applyNumberFormat="1" applyFont="1" applyBorder="1" applyAlignment="1">
      <alignment horizontal="center"/>
    </xf>
    <xf numFmtId="3" fontId="12" fillId="0" borderId="27" xfId="79" applyNumberFormat="1" applyFont="1" applyBorder="1" applyAlignment="1">
      <alignment horizontal="center"/>
      <protection/>
    </xf>
    <xf numFmtId="1" fontId="12" fillId="0" borderId="27" xfId="79" applyNumberFormat="1" applyFont="1" applyBorder="1" applyAlignment="1">
      <alignment horizontal="right"/>
      <protection/>
    </xf>
    <xf numFmtId="1" fontId="12" fillId="0" borderId="27" xfId="79" applyNumberFormat="1" applyFont="1" applyBorder="1" applyAlignment="1">
      <alignment horizontal="center"/>
      <protection/>
    </xf>
    <xf numFmtId="1" fontId="12" fillId="0" borderId="27" xfId="88" applyNumberFormat="1" applyFont="1" applyBorder="1" applyAlignment="1">
      <alignment horizontal="right"/>
      <protection/>
    </xf>
    <xf numFmtId="1" fontId="12" fillId="0" borderId="27" xfId="79" applyNumberFormat="1" applyFont="1" applyBorder="1" applyAlignment="1">
      <alignment horizontal="right" vertical="center"/>
      <protection/>
    </xf>
    <xf numFmtId="1" fontId="12" fillId="0" borderId="27" xfId="79" applyNumberFormat="1" applyFont="1" applyBorder="1" applyAlignment="1">
      <alignment horizontal="center" vertical="center"/>
      <protection/>
    </xf>
    <xf numFmtId="1" fontId="12" fillId="0" borderId="27" xfId="88" applyNumberFormat="1" applyFont="1" applyBorder="1" applyAlignment="1">
      <alignment horizontal="right" vertical="center"/>
      <protection/>
    </xf>
    <xf numFmtId="10" fontId="44" fillId="0" borderId="0" xfId="91" applyNumberFormat="1" applyFont="1" applyAlignment="1">
      <alignment/>
    </xf>
    <xf numFmtId="1" fontId="13" fillId="0" borderId="27" xfId="79" applyNumberFormat="1" applyFont="1" applyBorder="1">
      <alignment/>
      <protection/>
    </xf>
    <xf numFmtId="1" fontId="13" fillId="0" borderId="27" xfId="79" applyNumberFormat="1" applyFont="1" applyBorder="1" applyAlignment="1">
      <alignment horizontal="center"/>
      <protection/>
    </xf>
    <xf numFmtId="1" fontId="13" fillId="0" borderId="27" xfId="79" applyNumberFormat="1" applyFont="1" applyBorder="1" applyAlignment="1">
      <alignment wrapText="1"/>
      <protection/>
    </xf>
    <xf numFmtId="178" fontId="12" fillId="0" borderId="27" xfId="88" applyNumberFormat="1" applyFont="1" applyBorder="1" applyAlignment="1">
      <alignment horizontal="right"/>
      <protection/>
    </xf>
    <xf numFmtId="10" fontId="12" fillId="0" borderId="27" xfId="91" applyNumberFormat="1" applyFont="1" applyBorder="1" applyAlignment="1">
      <alignment horizontal="center"/>
    </xf>
    <xf numFmtId="1" fontId="12" fillId="0" borderId="27" xfId="79" applyNumberFormat="1" applyFont="1" applyBorder="1">
      <alignment/>
      <protection/>
    </xf>
    <xf numFmtId="178" fontId="12" fillId="0" borderId="27" xfId="88" applyNumberFormat="1" applyFont="1" applyBorder="1" applyAlignment="1">
      <alignment horizontal="right"/>
      <protection/>
    </xf>
    <xf numFmtId="0" fontId="44" fillId="0" borderId="0" xfId="79" applyFont="1" applyAlignment="1" quotePrefix="1">
      <alignment horizontal="left"/>
      <protection/>
    </xf>
    <xf numFmtId="0" fontId="38" fillId="0" borderId="0" xfId="87" applyFont="1" applyBorder="1">
      <alignment/>
      <protection/>
    </xf>
    <xf numFmtId="0" fontId="38" fillId="0" borderId="28" xfId="87" applyFont="1" applyBorder="1" applyAlignment="1">
      <alignment horizontal="center" vertical="center"/>
      <protection/>
    </xf>
    <xf numFmtId="0" fontId="38" fillId="0" borderId="29" xfId="81" applyFont="1" applyFill="1" applyBorder="1" applyAlignment="1">
      <alignment horizontal="center" vertical="center" textRotation="90" wrapText="1"/>
      <protection/>
    </xf>
    <xf numFmtId="0" fontId="38" fillId="0" borderId="19" xfId="81" applyFont="1" applyFill="1" applyBorder="1" applyAlignment="1">
      <alignment horizontal="center" vertical="center" textRotation="90" wrapText="1"/>
      <protection/>
    </xf>
    <xf numFmtId="0" fontId="38" fillId="0" borderId="30" xfId="81" applyFont="1" applyFill="1" applyBorder="1" applyAlignment="1">
      <alignment horizontal="center" vertical="center" textRotation="90" wrapText="1"/>
      <protection/>
    </xf>
    <xf numFmtId="0" fontId="38" fillId="0" borderId="31" xfId="81" applyFont="1" applyFill="1" applyBorder="1" applyAlignment="1">
      <alignment horizontal="center" vertical="center" textRotation="90" wrapText="1"/>
      <protection/>
    </xf>
    <xf numFmtId="2" fontId="38" fillId="0" borderId="32" xfId="81" applyNumberFormat="1" applyFont="1" applyBorder="1" applyAlignment="1">
      <alignment horizontal="center" vertical="center" textRotation="90" wrapText="1"/>
      <protection/>
    </xf>
    <xf numFmtId="172" fontId="38" fillId="0" borderId="33" xfId="81" applyNumberFormat="1" applyFont="1" applyBorder="1" applyAlignment="1">
      <alignment horizontal="center" vertical="center" textRotation="90" wrapText="1"/>
      <protection/>
    </xf>
    <xf numFmtId="2" fontId="38" fillId="0" borderId="33" xfId="81" applyNumberFormat="1" applyFont="1" applyBorder="1" applyAlignment="1">
      <alignment horizontal="center" vertical="center" textRotation="90" wrapText="1"/>
      <protection/>
    </xf>
    <xf numFmtId="0" fontId="38" fillId="0" borderId="33" xfId="81" applyFont="1" applyBorder="1" applyAlignment="1">
      <alignment horizontal="center" vertical="center" textRotation="90" wrapText="1"/>
      <protection/>
    </xf>
    <xf numFmtId="0" fontId="49" fillId="0" borderId="34" xfId="88" applyFont="1" applyFill="1" applyBorder="1" applyAlignment="1">
      <alignment horizontal="center" vertical="center"/>
      <protection/>
    </xf>
    <xf numFmtId="49" fontId="49" fillId="0" borderId="35" xfId="87" applyNumberFormat="1" applyFont="1" applyBorder="1" applyAlignment="1">
      <alignment horizontal="center" vertical="center"/>
      <protection/>
    </xf>
    <xf numFmtId="0" fontId="49" fillId="0" borderId="34" xfId="87" applyFont="1" applyBorder="1" applyAlignment="1">
      <alignment horizontal="center" vertical="center"/>
      <protection/>
    </xf>
    <xf numFmtId="0" fontId="49" fillId="0" borderId="36" xfId="87" applyFont="1" applyBorder="1" applyAlignment="1">
      <alignment horizontal="center" vertical="center"/>
      <protection/>
    </xf>
    <xf numFmtId="1" fontId="49" fillId="0" borderId="37" xfId="87" applyNumberFormat="1" applyFont="1" applyBorder="1" applyAlignment="1">
      <alignment horizontal="center" vertical="center"/>
      <protection/>
    </xf>
    <xf numFmtId="0" fontId="49" fillId="0" borderId="38" xfId="87" applyFont="1" applyBorder="1" applyAlignment="1">
      <alignment horizontal="center" vertical="center"/>
      <protection/>
    </xf>
    <xf numFmtId="0" fontId="49" fillId="0" borderId="39" xfId="87" applyFont="1" applyBorder="1" applyAlignment="1">
      <alignment horizontal="center" vertical="center"/>
      <protection/>
    </xf>
    <xf numFmtId="0" fontId="49" fillId="0" borderId="40" xfId="87" applyFont="1" applyBorder="1" applyAlignment="1">
      <alignment horizontal="center" vertical="center"/>
      <protection/>
    </xf>
    <xf numFmtId="0" fontId="49" fillId="0" borderId="0" xfId="87" applyFont="1" applyBorder="1">
      <alignment/>
      <protection/>
    </xf>
    <xf numFmtId="0" fontId="50" fillId="0" borderId="41" xfId="81" applyFont="1" applyFill="1" applyBorder="1" applyAlignment="1">
      <alignment horizontal="center" vertical="center"/>
      <protection/>
    </xf>
    <xf numFmtId="3" fontId="50" fillId="0" borderId="31" xfId="81" applyNumberFormat="1" applyFont="1" applyFill="1" applyBorder="1" applyAlignment="1">
      <alignment vertical="center"/>
      <protection/>
    </xf>
    <xf numFmtId="3" fontId="50" fillId="0" borderId="42" xfId="81" applyNumberFormat="1" applyFont="1" applyFill="1" applyBorder="1" applyAlignment="1">
      <alignment vertical="center"/>
      <protection/>
    </xf>
    <xf numFmtId="3" fontId="50" fillId="0" borderId="43" xfId="81" applyNumberFormat="1" applyFont="1" applyFill="1" applyBorder="1" applyAlignment="1">
      <alignment vertical="center"/>
      <protection/>
    </xf>
    <xf numFmtId="2" fontId="50" fillId="0" borderId="29" xfId="87" applyNumberFormat="1" applyFont="1" applyFill="1" applyBorder="1" applyAlignment="1">
      <alignment horizontal="right"/>
      <protection/>
    </xf>
    <xf numFmtId="2" fontId="50" fillId="0" borderId="19" xfId="87" applyNumberFormat="1" applyFont="1" applyFill="1" applyBorder="1" applyAlignment="1">
      <alignment horizontal="right"/>
      <protection/>
    </xf>
    <xf numFmtId="172" fontId="50" fillId="0" borderId="19" xfId="87" applyNumberFormat="1" applyFont="1" applyFill="1" applyBorder="1" applyAlignment="1">
      <alignment horizontal="right"/>
      <protection/>
    </xf>
    <xf numFmtId="1" fontId="50" fillId="0" borderId="19" xfId="87" applyNumberFormat="1" applyFont="1" applyFill="1" applyBorder="1" applyAlignment="1">
      <alignment horizontal="right"/>
      <protection/>
    </xf>
    <xf numFmtId="1" fontId="50" fillId="0" borderId="31" xfId="87" applyNumberFormat="1" applyFont="1" applyFill="1" applyBorder="1" applyAlignment="1">
      <alignment horizontal="right"/>
      <protection/>
    </xf>
    <xf numFmtId="3" fontId="50" fillId="0" borderId="29" xfId="81" applyNumberFormat="1" applyFont="1" applyFill="1" applyBorder="1" applyAlignment="1">
      <alignment vertical="center"/>
      <protection/>
    </xf>
    <xf numFmtId="3" fontId="50" fillId="0" borderId="19" xfId="81" applyNumberFormat="1" applyFont="1" applyFill="1" applyBorder="1" applyAlignment="1">
      <alignment vertical="center"/>
      <protection/>
    </xf>
    <xf numFmtId="3" fontId="50" fillId="0" borderId="44" xfId="81" applyNumberFormat="1" applyFont="1" applyFill="1" applyBorder="1" applyAlignment="1">
      <alignment vertical="center"/>
      <protection/>
    </xf>
    <xf numFmtId="0" fontId="38" fillId="0" borderId="0" xfId="81" applyFont="1" applyFill="1" applyAlignment="1">
      <alignment vertical="center"/>
      <protection/>
    </xf>
    <xf numFmtId="0" fontId="50" fillId="0" borderId="41" xfId="87" applyFont="1" applyBorder="1" applyAlignment="1">
      <alignment horizontal="center" vertical="center"/>
      <protection/>
    </xf>
    <xf numFmtId="3" fontId="50" fillId="0" borderId="29" xfId="87" applyNumberFormat="1" applyFont="1" applyBorder="1">
      <alignment/>
      <protection/>
    </xf>
    <xf numFmtId="3" fontId="50" fillId="0" borderId="31" xfId="87" applyNumberFormat="1" applyFont="1" applyBorder="1">
      <alignment/>
      <protection/>
    </xf>
    <xf numFmtId="3" fontId="50" fillId="0" borderId="19" xfId="87" applyNumberFormat="1" applyFont="1" applyBorder="1">
      <alignment/>
      <protection/>
    </xf>
    <xf numFmtId="0" fontId="50" fillId="0" borderId="41" xfId="87" applyFont="1" applyBorder="1" applyAlignment="1">
      <alignment horizontal="center"/>
      <protection/>
    </xf>
    <xf numFmtId="3" fontId="50" fillId="0" borderId="42" xfId="87" applyNumberFormat="1" applyFont="1" applyBorder="1">
      <alignment/>
      <protection/>
    </xf>
    <xf numFmtId="0" fontId="50" fillId="0" borderId="45" xfId="87" applyFont="1" applyBorder="1" applyAlignment="1">
      <alignment horizontal="center" vertical="center"/>
      <protection/>
    </xf>
    <xf numFmtId="3" fontId="50" fillId="0" borderId="30" xfId="87" applyNumberFormat="1" applyFont="1" applyBorder="1">
      <alignment/>
      <protection/>
    </xf>
    <xf numFmtId="3" fontId="50" fillId="0" borderId="46" xfId="87" applyNumberFormat="1" applyFont="1" applyBorder="1">
      <alignment/>
      <protection/>
    </xf>
    <xf numFmtId="49" fontId="50" fillId="0" borderId="47" xfId="81" applyNumberFormat="1" applyFont="1" applyBorder="1" applyAlignment="1">
      <alignment horizontal="center" vertical="center" wrapText="1"/>
      <protection/>
    </xf>
    <xf numFmtId="3" fontId="50" fillId="0" borderId="32" xfId="81" applyNumberFormat="1" applyFont="1" applyFill="1" applyBorder="1" applyAlignment="1">
      <alignment vertical="center"/>
      <protection/>
    </xf>
    <xf numFmtId="3" fontId="50" fillId="0" borderId="48" xfId="81" applyNumberFormat="1" applyFont="1" applyBorder="1" applyAlignment="1">
      <alignment vertical="center"/>
      <protection/>
    </xf>
    <xf numFmtId="3" fontId="50" fillId="0" borderId="46" xfId="81" applyNumberFormat="1" applyFont="1" applyBorder="1" applyAlignment="1">
      <alignment vertical="center"/>
      <protection/>
    </xf>
    <xf numFmtId="3" fontId="50" fillId="0" borderId="33" xfId="81" applyNumberFormat="1" applyFont="1" applyBorder="1" applyAlignment="1">
      <alignment vertical="center"/>
      <protection/>
    </xf>
    <xf numFmtId="0" fontId="50" fillId="0" borderId="0" xfId="81" applyFont="1" applyAlignment="1">
      <alignment vertical="center"/>
      <protection/>
    </xf>
    <xf numFmtId="49" fontId="50" fillId="0" borderId="41" xfId="81" applyNumberFormat="1" applyFont="1" applyBorder="1" applyAlignment="1">
      <alignment horizontal="center" vertical="center" wrapText="1"/>
      <protection/>
    </xf>
    <xf numFmtId="3" fontId="50" fillId="0" borderId="31" xfId="81" applyNumberFormat="1" applyFont="1" applyBorder="1" applyAlignment="1">
      <alignment vertical="center"/>
      <protection/>
    </xf>
    <xf numFmtId="3" fontId="50" fillId="0" borderId="42" xfId="81" applyNumberFormat="1" applyFont="1" applyBorder="1" applyAlignment="1">
      <alignment vertical="center"/>
      <protection/>
    </xf>
    <xf numFmtId="3" fontId="50" fillId="0" borderId="19" xfId="81" applyNumberFormat="1" applyFont="1" applyBorder="1" applyAlignment="1">
      <alignment vertical="center"/>
      <protection/>
    </xf>
    <xf numFmtId="0" fontId="50" fillId="0" borderId="49" xfId="87" applyFont="1" applyBorder="1" applyAlignment="1">
      <alignment horizontal="center" vertical="center"/>
      <protection/>
    </xf>
    <xf numFmtId="3" fontId="50" fillId="0" borderId="32" xfId="87" applyNumberFormat="1" applyFont="1" applyBorder="1" applyAlignment="1">
      <alignment horizontal="right" vertical="center"/>
      <protection/>
    </xf>
    <xf numFmtId="3" fontId="50" fillId="0" borderId="48" xfId="87" applyNumberFormat="1" applyFont="1" applyBorder="1" applyAlignment="1">
      <alignment horizontal="right" vertical="center"/>
      <protection/>
    </xf>
    <xf numFmtId="3" fontId="50" fillId="0" borderId="32" xfId="87" applyNumberFormat="1" applyFont="1" applyBorder="1">
      <alignment/>
      <protection/>
    </xf>
    <xf numFmtId="3" fontId="50" fillId="0" borderId="33" xfId="87" applyNumberFormat="1" applyFont="1" applyBorder="1">
      <alignment/>
      <protection/>
    </xf>
    <xf numFmtId="3" fontId="50" fillId="0" borderId="48" xfId="87" applyNumberFormat="1" applyFont="1" applyBorder="1">
      <alignment/>
      <protection/>
    </xf>
    <xf numFmtId="0" fontId="50" fillId="0" borderId="49" xfId="87" applyFont="1" applyBorder="1" applyAlignment="1">
      <alignment horizontal="center"/>
      <protection/>
    </xf>
    <xf numFmtId="0" fontId="50" fillId="0" borderId="28" xfId="87" applyFont="1" applyBorder="1" applyAlignment="1">
      <alignment horizontal="center" vertical="center"/>
      <protection/>
    </xf>
    <xf numFmtId="3" fontId="50" fillId="0" borderId="46" xfId="87" applyNumberFormat="1" applyFont="1" applyBorder="1" applyAlignment="1">
      <alignment horizontal="right" vertical="center"/>
      <protection/>
    </xf>
    <xf numFmtId="3" fontId="50" fillId="0" borderId="50" xfId="87" applyNumberFormat="1" applyFont="1" applyBorder="1" applyAlignment="1">
      <alignment horizontal="right" vertical="center"/>
      <protection/>
    </xf>
    <xf numFmtId="0" fontId="38" fillId="0" borderId="51" xfId="81" applyFont="1" applyFill="1" applyBorder="1" applyAlignment="1">
      <alignment horizontal="center" vertical="center"/>
      <protection/>
    </xf>
    <xf numFmtId="3" fontId="38" fillId="0" borderId="52" xfId="81" applyNumberFormat="1" applyFont="1" applyFill="1" applyBorder="1" applyAlignment="1">
      <alignment vertical="center"/>
      <protection/>
    </xf>
    <xf numFmtId="3" fontId="38" fillId="0" borderId="53" xfId="81" applyNumberFormat="1" applyFont="1" applyFill="1" applyBorder="1" applyAlignment="1">
      <alignment vertical="center"/>
      <protection/>
    </xf>
    <xf numFmtId="3" fontId="38" fillId="0" borderId="54" xfId="81" applyNumberFormat="1" applyFont="1" applyFill="1" applyBorder="1" applyAlignment="1">
      <alignment vertical="center"/>
      <protection/>
    </xf>
    <xf numFmtId="3" fontId="38" fillId="0" borderId="53" xfId="81" applyNumberFormat="1" applyFont="1" applyBorder="1" applyAlignment="1">
      <alignment vertical="center"/>
      <protection/>
    </xf>
    <xf numFmtId="2" fontId="38" fillId="0" borderId="52" xfId="87" applyNumberFormat="1" applyFont="1" applyFill="1" applyBorder="1" applyAlignment="1">
      <alignment horizontal="right"/>
      <protection/>
    </xf>
    <xf numFmtId="2" fontId="38" fillId="0" borderId="55" xfId="87" applyNumberFormat="1" applyFont="1" applyFill="1" applyBorder="1" applyAlignment="1">
      <alignment horizontal="right"/>
      <protection/>
    </xf>
    <xf numFmtId="172" fontId="38" fillId="0" borderId="55" xfId="87" applyNumberFormat="1" applyFont="1" applyFill="1" applyBorder="1" applyAlignment="1">
      <alignment horizontal="right"/>
      <protection/>
    </xf>
    <xf numFmtId="1" fontId="38" fillId="0" borderId="55" xfId="87" applyNumberFormat="1" applyFont="1" applyFill="1" applyBorder="1" applyAlignment="1">
      <alignment horizontal="right"/>
      <protection/>
    </xf>
    <xf numFmtId="1" fontId="38" fillId="0" borderId="53" xfId="87" applyNumberFormat="1" applyFont="1" applyFill="1" applyBorder="1" applyAlignment="1">
      <alignment horizontal="right"/>
      <protection/>
    </xf>
    <xf numFmtId="49" fontId="38" fillId="0" borderId="47" xfId="81" applyNumberFormat="1" applyFont="1" applyBorder="1" applyAlignment="1">
      <alignment horizontal="center" vertical="center" wrapText="1"/>
      <protection/>
    </xf>
    <xf numFmtId="2" fontId="38" fillId="0" borderId="32" xfId="87" applyNumberFormat="1" applyFont="1" applyFill="1" applyBorder="1" applyAlignment="1">
      <alignment horizontal="right"/>
      <protection/>
    </xf>
    <xf numFmtId="2" fontId="38" fillId="0" borderId="33" xfId="87" applyNumberFormat="1" applyFont="1" applyFill="1" applyBorder="1" applyAlignment="1">
      <alignment horizontal="right"/>
      <protection/>
    </xf>
    <xf numFmtId="172" fontId="38" fillId="0" borderId="33" xfId="87" applyNumberFormat="1" applyFont="1" applyFill="1" applyBorder="1" applyAlignment="1">
      <alignment horizontal="right"/>
      <protection/>
    </xf>
    <xf numFmtId="1" fontId="38" fillId="0" borderId="33" xfId="87" applyNumberFormat="1" applyFont="1" applyFill="1" applyBorder="1" applyAlignment="1">
      <alignment horizontal="right"/>
      <protection/>
    </xf>
    <xf numFmtId="1" fontId="38" fillId="0" borderId="48" xfId="87" applyNumberFormat="1" applyFont="1" applyFill="1" applyBorder="1" applyAlignment="1">
      <alignment horizontal="right"/>
      <protection/>
    </xf>
    <xf numFmtId="2" fontId="38" fillId="0" borderId="29" xfId="87" applyNumberFormat="1" applyFont="1" applyFill="1" applyBorder="1" applyAlignment="1">
      <alignment horizontal="right"/>
      <protection/>
    </xf>
    <xf numFmtId="2" fontId="38" fillId="0" borderId="19" xfId="87" applyNumberFormat="1" applyFont="1" applyFill="1" applyBorder="1" applyAlignment="1">
      <alignment horizontal="right"/>
      <protection/>
    </xf>
    <xf numFmtId="172" fontId="38" fillId="0" borderId="19" xfId="87" applyNumberFormat="1" applyFont="1" applyFill="1" applyBorder="1" applyAlignment="1">
      <alignment horizontal="right"/>
      <protection/>
    </xf>
    <xf numFmtId="1" fontId="38" fillId="0" borderId="19" xfId="87" applyNumberFormat="1" applyFont="1" applyFill="1" applyBorder="1" applyAlignment="1">
      <alignment horizontal="right"/>
      <protection/>
    </xf>
    <xf numFmtId="1" fontId="38" fillId="0" borderId="31" xfId="87" applyNumberFormat="1" applyFont="1" applyFill="1" applyBorder="1" applyAlignment="1">
      <alignment horizontal="right"/>
      <protection/>
    </xf>
    <xf numFmtId="0" fontId="38" fillId="0" borderId="0" xfId="81" applyFont="1" applyAlignment="1">
      <alignment vertical="center"/>
      <protection/>
    </xf>
    <xf numFmtId="3" fontId="38" fillId="0" borderId="29" xfId="78" applyNumberFormat="1" applyFont="1" applyFill="1" applyBorder="1" applyAlignment="1">
      <alignment vertical="center"/>
      <protection/>
    </xf>
    <xf numFmtId="3" fontId="38" fillId="0" borderId="31" xfId="78" applyNumberFormat="1" applyFont="1" applyBorder="1" applyAlignment="1">
      <alignment vertical="center"/>
      <protection/>
    </xf>
    <xf numFmtId="3" fontId="38" fillId="0" borderId="42" xfId="78" applyNumberFormat="1" applyFont="1" applyBorder="1" applyAlignment="1">
      <alignment vertical="center"/>
      <protection/>
    </xf>
    <xf numFmtId="3" fontId="38" fillId="0" borderId="19" xfId="78" applyNumberFormat="1" applyFont="1" applyBorder="1" applyAlignment="1">
      <alignment vertical="center"/>
      <protection/>
    </xf>
    <xf numFmtId="3" fontId="38" fillId="0" borderId="56" xfId="78" applyNumberFormat="1" applyFont="1" applyFill="1" applyBorder="1" applyAlignment="1">
      <alignment vertical="center"/>
      <protection/>
    </xf>
    <xf numFmtId="3" fontId="38" fillId="0" borderId="57" xfId="78" applyNumberFormat="1" applyFont="1" applyBorder="1" applyAlignment="1">
      <alignment vertical="center"/>
      <protection/>
    </xf>
    <xf numFmtId="3" fontId="38" fillId="0" borderId="58" xfId="78" applyNumberFormat="1" applyFont="1" applyBorder="1" applyAlignment="1">
      <alignment vertical="center"/>
      <protection/>
    </xf>
    <xf numFmtId="3" fontId="38" fillId="0" borderId="21" xfId="78" applyNumberFormat="1" applyFont="1" applyBorder="1" applyAlignment="1">
      <alignment vertical="center"/>
      <protection/>
    </xf>
    <xf numFmtId="0" fontId="38" fillId="0" borderId="43" xfId="87" applyFont="1" applyBorder="1" applyAlignment="1">
      <alignment horizontal="center" vertical="center"/>
      <protection/>
    </xf>
    <xf numFmtId="3" fontId="38" fillId="0" borderId="29" xfId="81" applyNumberFormat="1" applyFont="1" applyBorder="1" applyAlignment="1">
      <alignment horizontal="right" vertical="center"/>
      <protection/>
    </xf>
    <xf numFmtId="3" fontId="38" fillId="0" borderId="31" xfId="81" applyNumberFormat="1" applyFont="1" applyBorder="1" applyAlignment="1">
      <alignment horizontal="right" vertical="center"/>
      <protection/>
    </xf>
    <xf numFmtId="3" fontId="38" fillId="0" borderId="19" xfId="81" applyNumberFormat="1" applyFont="1" applyBorder="1" applyAlignment="1">
      <alignment horizontal="right" vertical="center"/>
      <protection/>
    </xf>
    <xf numFmtId="0" fontId="38" fillId="0" borderId="43" xfId="87" applyFont="1" applyBorder="1" applyAlignment="1">
      <alignment horizontal="center"/>
      <protection/>
    </xf>
    <xf numFmtId="3" fontId="38" fillId="0" borderId="29" xfId="87" applyNumberFormat="1" applyFont="1" applyBorder="1" applyAlignment="1">
      <alignment horizontal="right" vertical="center"/>
      <protection/>
    </xf>
    <xf numFmtId="3" fontId="38" fillId="0" borderId="31" xfId="87" applyNumberFormat="1" applyFont="1" applyBorder="1" applyAlignment="1">
      <alignment horizontal="right" vertical="center"/>
      <protection/>
    </xf>
    <xf numFmtId="3" fontId="38" fillId="0" borderId="29" xfId="87" applyNumberFormat="1" applyFont="1" applyBorder="1">
      <alignment/>
      <protection/>
    </xf>
    <xf numFmtId="3" fontId="38" fillId="0" borderId="19" xfId="87" applyNumberFormat="1" applyFont="1" applyBorder="1">
      <alignment/>
      <protection/>
    </xf>
    <xf numFmtId="3" fontId="38" fillId="0" borderId="31" xfId="87" applyNumberFormat="1" applyFont="1" applyBorder="1">
      <alignment/>
      <protection/>
    </xf>
    <xf numFmtId="0" fontId="38" fillId="0" borderId="45" xfId="87" applyFont="1" applyBorder="1" applyAlignment="1">
      <alignment horizontal="center"/>
      <protection/>
    </xf>
    <xf numFmtId="3" fontId="38" fillId="0" borderId="42" xfId="88" applyNumberFormat="1" applyFont="1" applyBorder="1" applyAlignment="1">
      <alignment horizontal="right" vertical="center"/>
      <protection/>
    </xf>
    <xf numFmtId="3" fontId="38" fillId="0" borderId="29" xfId="88" applyNumberFormat="1" applyFont="1" applyBorder="1" applyAlignment="1">
      <alignment horizontal="right" vertical="center"/>
      <protection/>
    </xf>
    <xf numFmtId="3" fontId="38" fillId="0" borderId="19" xfId="88" applyNumberFormat="1" applyFont="1" applyBorder="1" applyAlignment="1">
      <alignment horizontal="right" vertical="center"/>
      <protection/>
    </xf>
    <xf numFmtId="3" fontId="38" fillId="0" borderId="31" xfId="88" applyNumberFormat="1" applyFont="1" applyBorder="1" applyAlignment="1">
      <alignment horizontal="right" vertical="center"/>
      <protection/>
    </xf>
    <xf numFmtId="3" fontId="38" fillId="0" borderId="42" xfId="88" applyNumberFormat="1" applyFont="1" applyBorder="1">
      <alignment/>
      <protection/>
    </xf>
    <xf numFmtId="3" fontId="38" fillId="0" borderId="30" xfId="87" applyNumberFormat="1" applyFont="1" applyBorder="1" applyAlignment="1">
      <alignment horizontal="right" vertical="center"/>
      <protection/>
    </xf>
    <xf numFmtId="3" fontId="38" fillId="0" borderId="19" xfId="87" applyNumberFormat="1" applyFont="1" applyBorder="1" applyAlignment="1">
      <alignment horizontal="right" vertical="center"/>
      <protection/>
    </xf>
    <xf numFmtId="3" fontId="38" fillId="0" borderId="42" xfId="87" applyNumberFormat="1" applyFont="1" applyBorder="1" applyAlignment="1">
      <alignment horizontal="right" vertical="center"/>
      <protection/>
    </xf>
    <xf numFmtId="0" fontId="38" fillId="0" borderId="49" xfId="87" applyFont="1" applyBorder="1" applyAlignment="1">
      <alignment horizontal="center"/>
      <protection/>
    </xf>
    <xf numFmtId="3" fontId="38" fillId="0" borderId="32" xfId="87" applyNumberFormat="1" applyFont="1" applyBorder="1" applyAlignment="1">
      <alignment horizontal="right" vertical="center"/>
      <protection/>
    </xf>
    <xf numFmtId="3" fontId="38" fillId="0" borderId="48" xfId="87" applyNumberFormat="1" applyFont="1" applyBorder="1" applyAlignment="1">
      <alignment horizontal="right" vertical="center"/>
      <protection/>
    </xf>
    <xf numFmtId="3" fontId="38" fillId="0" borderId="46" xfId="87" applyNumberFormat="1" applyFont="1" applyBorder="1">
      <alignment/>
      <protection/>
    </xf>
    <xf numFmtId="3" fontId="38" fillId="0" borderId="59" xfId="87" applyNumberFormat="1" applyFont="1" applyBorder="1">
      <alignment/>
      <protection/>
    </xf>
    <xf numFmtId="3" fontId="38" fillId="0" borderId="60" xfId="87" applyNumberFormat="1" applyFont="1" applyBorder="1">
      <alignment/>
      <protection/>
    </xf>
    <xf numFmtId="3" fontId="38" fillId="0" borderId="52" xfId="78" applyNumberFormat="1" applyFont="1" applyFill="1" applyBorder="1" applyAlignment="1">
      <alignment vertical="center"/>
      <protection/>
    </xf>
    <xf numFmtId="3" fontId="38" fillId="0" borderId="53" xfId="78" applyNumberFormat="1" applyFont="1" applyBorder="1" applyAlignment="1">
      <alignment vertical="center"/>
      <protection/>
    </xf>
    <xf numFmtId="3" fontId="38" fillId="0" borderId="54" xfId="78" applyNumberFormat="1" applyFont="1" applyBorder="1" applyAlignment="1">
      <alignment vertical="center"/>
      <protection/>
    </xf>
    <xf numFmtId="3" fontId="38" fillId="0" borderId="55" xfId="78" applyNumberFormat="1" applyFont="1" applyBorder="1" applyAlignment="1">
      <alignment vertical="center"/>
      <protection/>
    </xf>
    <xf numFmtId="2" fontId="38" fillId="0" borderId="54" xfId="81" applyNumberFormat="1" applyFont="1" applyFill="1" applyBorder="1" applyAlignment="1">
      <alignment vertical="center"/>
      <protection/>
    </xf>
    <xf numFmtId="2" fontId="38" fillId="0" borderId="55" xfId="81" applyNumberFormat="1" applyFont="1" applyFill="1" applyBorder="1" applyAlignment="1">
      <alignment vertical="center"/>
      <protection/>
    </xf>
    <xf numFmtId="172" fontId="38" fillId="0" borderId="55" xfId="81" applyNumberFormat="1" applyFont="1" applyFill="1" applyBorder="1" applyAlignment="1">
      <alignment vertical="center"/>
      <protection/>
    </xf>
    <xf numFmtId="1" fontId="38" fillId="0" borderId="55" xfId="81" applyNumberFormat="1" applyFont="1" applyFill="1" applyBorder="1" applyAlignment="1">
      <alignment vertical="center"/>
      <protection/>
    </xf>
    <xf numFmtId="1" fontId="38" fillId="0" borderId="53" xfId="81" applyNumberFormat="1" applyFont="1" applyFill="1" applyBorder="1" applyAlignment="1">
      <alignment vertical="center"/>
      <protection/>
    </xf>
    <xf numFmtId="2" fontId="38" fillId="0" borderId="42" xfId="81" applyNumberFormat="1" applyFont="1" applyFill="1" applyBorder="1" applyAlignment="1">
      <alignment vertical="center"/>
      <protection/>
    </xf>
    <xf numFmtId="2" fontId="38" fillId="0" borderId="19" xfId="81" applyNumberFormat="1" applyFont="1" applyFill="1" applyBorder="1" applyAlignment="1">
      <alignment vertical="center"/>
      <protection/>
    </xf>
    <xf numFmtId="172" fontId="38" fillId="0" borderId="19" xfId="81" applyNumberFormat="1" applyFont="1" applyFill="1" applyBorder="1" applyAlignment="1">
      <alignment vertical="center"/>
      <protection/>
    </xf>
    <xf numFmtId="1" fontId="38" fillId="0" borderId="19" xfId="81" applyNumberFormat="1" applyFont="1" applyFill="1" applyBorder="1" applyAlignment="1">
      <alignment vertical="center"/>
      <protection/>
    </xf>
    <xf numFmtId="1" fontId="38" fillId="0" borderId="31" xfId="81" applyNumberFormat="1" applyFont="1" applyFill="1" applyBorder="1" applyAlignment="1">
      <alignment vertical="center"/>
      <protection/>
    </xf>
    <xf numFmtId="49" fontId="38" fillId="0" borderId="41" xfId="81" applyNumberFormat="1" applyFont="1" applyBorder="1" applyAlignment="1">
      <alignment horizontal="center" vertical="center" wrapText="1"/>
      <protection/>
    </xf>
    <xf numFmtId="0" fontId="38" fillId="0" borderId="49" xfId="87" applyFont="1" applyBorder="1" applyAlignment="1">
      <alignment horizontal="center" vertical="center"/>
      <protection/>
    </xf>
    <xf numFmtId="3" fontId="38" fillId="0" borderId="32" xfId="81" applyNumberFormat="1" applyFont="1" applyBorder="1" applyAlignment="1">
      <alignment horizontal="right" vertical="center"/>
      <protection/>
    </xf>
    <xf numFmtId="3" fontId="38" fillId="0" borderId="48" xfId="81" applyNumberFormat="1" applyFont="1" applyBorder="1" applyAlignment="1">
      <alignment horizontal="right" vertical="center"/>
      <protection/>
    </xf>
    <xf numFmtId="3" fontId="38" fillId="0" borderId="33" xfId="81" applyNumberFormat="1" applyFont="1" applyBorder="1" applyAlignment="1">
      <alignment horizontal="right" vertical="center"/>
      <protection/>
    </xf>
    <xf numFmtId="3" fontId="38" fillId="0" borderId="30" xfId="87" applyNumberFormat="1" applyFont="1" applyFill="1" applyBorder="1" applyAlignment="1">
      <alignment horizontal="right" vertical="center"/>
      <protection/>
    </xf>
    <xf numFmtId="3" fontId="38" fillId="0" borderId="29" xfId="87" applyNumberFormat="1" applyFont="1" applyFill="1" applyBorder="1" applyAlignment="1">
      <alignment horizontal="right" vertical="center"/>
      <protection/>
    </xf>
    <xf numFmtId="3" fontId="38" fillId="0" borderId="19" xfId="87" applyNumberFormat="1" applyFont="1" applyFill="1" applyBorder="1" applyAlignment="1">
      <alignment horizontal="right" vertical="center"/>
      <protection/>
    </xf>
    <xf numFmtId="3" fontId="38" fillId="0" borderId="31" xfId="87" applyNumberFormat="1" applyFont="1" applyFill="1" applyBorder="1" applyAlignment="1">
      <alignment horizontal="right" vertical="center"/>
      <protection/>
    </xf>
    <xf numFmtId="3" fontId="38" fillId="0" borderId="42" xfId="87" applyNumberFormat="1" applyFont="1" applyBorder="1">
      <alignment/>
      <protection/>
    </xf>
    <xf numFmtId="3" fontId="38" fillId="0" borderId="29" xfId="81" applyNumberFormat="1" applyFont="1" applyFill="1" applyBorder="1" applyAlignment="1">
      <alignment vertical="center"/>
      <protection/>
    </xf>
    <xf numFmtId="3" fontId="38" fillId="0" borderId="31" xfId="81" applyNumberFormat="1" applyFont="1" applyBorder="1" applyAlignment="1">
      <alignment vertical="center"/>
      <protection/>
    </xf>
    <xf numFmtId="3" fontId="38" fillId="0" borderId="42" xfId="81" applyNumberFormat="1" applyFont="1" applyBorder="1" applyAlignment="1">
      <alignment vertical="center"/>
      <protection/>
    </xf>
    <xf numFmtId="3" fontId="38" fillId="0" borderId="19" xfId="81" applyNumberFormat="1" applyFont="1" applyBorder="1" applyAlignment="1">
      <alignment vertical="center"/>
      <protection/>
    </xf>
    <xf numFmtId="3" fontId="38" fillId="0" borderId="42" xfId="87" applyNumberFormat="1" applyFont="1" applyFill="1" applyBorder="1" applyAlignment="1">
      <alignment horizontal="right" vertical="center"/>
      <protection/>
    </xf>
    <xf numFmtId="0" fontId="38" fillId="0" borderId="41" xfId="87" applyFont="1" applyBorder="1" applyAlignment="1">
      <alignment horizontal="center"/>
      <protection/>
    </xf>
    <xf numFmtId="3" fontId="38" fillId="0" borderId="46" xfId="88" applyNumberFormat="1" applyFont="1" applyBorder="1">
      <alignment/>
      <protection/>
    </xf>
    <xf numFmtId="3" fontId="38" fillId="0" borderId="50" xfId="87" applyNumberFormat="1" applyFont="1" applyFill="1" applyBorder="1" applyAlignment="1">
      <alignment horizontal="right" vertical="center"/>
      <protection/>
    </xf>
    <xf numFmtId="3" fontId="38" fillId="0" borderId="32" xfId="87" applyNumberFormat="1" applyFont="1" applyFill="1" applyBorder="1" applyAlignment="1">
      <alignment horizontal="right" vertical="center"/>
      <protection/>
    </xf>
    <xf numFmtId="3" fontId="38" fillId="0" borderId="33" xfId="87" applyNumberFormat="1" applyFont="1" applyFill="1" applyBorder="1" applyAlignment="1">
      <alignment horizontal="right" vertical="center"/>
      <protection/>
    </xf>
    <xf numFmtId="3" fontId="38" fillId="0" borderId="48" xfId="87" applyNumberFormat="1" applyFont="1" applyFill="1" applyBorder="1" applyAlignment="1">
      <alignment horizontal="right" vertical="center"/>
      <protection/>
    </xf>
    <xf numFmtId="49" fontId="38" fillId="0" borderId="61" xfId="81" applyNumberFormat="1" applyFont="1" applyBorder="1" applyAlignment="1">
      <alignment horizontal="center" vertical="center" wrapText="1"/>
      <protection/>
    </xf>
    <xf numFmtId="3" fontId="38" fillId="0" borderId="62" xfId="81" applyNumberFormat="1" applyFont="1" applyFill="1" applyBorder="1" applyAlignment="1">
      <alignment vertical="center"/>
      <protection/>
    </xf>
    <xf numFmtId="3" fontId="38" fillId="0" borderId="63" xfId="81" applyNumberFormat="1" applyFont="1" applyBorder="1" applyAlignment="1">
      <alignment vertical="center"/>
      <protection/>
    </xf>
    <xf numFmtId="3" fontId="38" fillId="0" borderId="64" xfId="81" applyNumberFormat="1" applyFont="1" applyBorder="1" applyAlignment="1">
      <alignment vertical="center"/>
      <protection/>
    </xf>
    <xf numFmtId="3" fontId="38" fillId="0" borderId="65" xfId="81" applyNumberFormat="1" applyFont="1" applyBorder="1" applyAlignment="1">
      <alignment vertical="center"/>
      <protection/>
    </xf>
    <xf numFmtId="2" fontId="38" fillId="0" borderId="38" xfId="87" applyNumberFormat="1" applyFont="1" applyFill="1" applyBorder="1" applyAlignment="1">
      <alignment horizontal="right"/>
      <protection/>
    </xf>
    <xf numFmtId="2" fontId="38" fillId="0" borderId="39" xfId="87" applyNumberFormat="1" applyFont="1" applyFill="1" applyBorder="1" applyAlignment="1">
      <alignment horizontal="right"/>
      <protection/>
    </xf>
    <xf numFmtId="172" fontId="38" fillId="0" borderId="39" xfId="87" applyNumberFormat="1" applyFont="1" applyFill="1" applyBorder="1" applyAlignment="1">
      <alignment horizontal="right"/>
      <protection/>
    </xf>
    <xf numFmtId="1" fontId="38" fillId="0" borderId="39" xfId="87" applyNumberFormat="1" applyFont="1" applyFill="1" applyBorder="1" applyAlignment="1">
      <alignment horizontal="right"/>
      <protection/>
    </xf>
    <xf numFmtId="1" fontId="38" fillId="0" borderId="40" xfId="87" applyNumberFormat="1" applyFont="1" applyFill="1" applyBorder="1" applyAlignment="1">
      <alignment horizontal="right"/>
      <protection/>
    </xf>
    <xf numFmtId="0" fontId="51" fillId="0" borderId="0" xfId="81" applyFont="1">
      <alignment/>
      <protection/>
    </xf>
    <xf numFmtId="49" fontId="51" fillId="0" borderId="0" xfId="81" applyNumberFormat="1" applyFont="1" applyAlignment="1">
      <alignment horizontal="center"/>
      <protection/>
    </xf>
    <xf numFmtId="1" fontId="38" fillId="0" borderId="0" xfId="81" applyNumberFormat="1" applyFont="1" applyFill="1">
      <alignment/>
      <protection/>
    </xf>
    <xf numFmtId="1" fontId="5" fillId="0" borderId="0" xfId="81" applyNumberFormat="1" applyFont="1">
      <alignment/>
      <protection/>
    </xf>
    <xf numFmtId="0" fontId="5" fillId="0" borderId="0" xfId="81" applyFont="1">
      <alignment/>
      <protection/>
    </xf>
    <xf numFmtId="2" fontId="5" fillId="0" borderId="0" xfId="81" applyNumberFormat="1" applyFont="1" applyBorder="1" applyAlignment="1">
      <alignment horizontal="right"/>
      <protection/>
    </xf>
    <xf numFmtId="2" fontId="5" fillId="0" borderId="0" xfId="81" applyNumberFormat="1" applyFont="1" applyBorder="1" applyAlignment="1">
      <alignment horizontal="right" vertical="center"/>
      <protection/>
    </xf>
    <xf numFmtId="172" fontId="5" fillId="0" borderId="0" xfId="81" applyNumberFormat="1" applyFont="1" applyBorder="1" applyAlignment="1">
      <alignment horizontal="right" vertical="center"/>
      <protection/>
    </xf>
    <xf numFmtId="1" fontId="5" fillId="0" borderId="0" xfId="81" applyNumberFormat="1" applyFont="1" applyBorder="1" applyAlignment="1">
      <alignment horizontal="right"/>
      <protection/>
    </xf>
    <xf numFmtId="1" fontId="5" fillId="0" borderId="0" xfId="81" applyNumberFormat="1" applyFont="1" applyBorder="1" applyAlignment="1">
      <alignment horizontal="right" vertical="center"/>
      <protection/>
    </xf>
    <xf numFmtId="3" fontId="51" fillId="0" borderId="0" xfId="81" applyNumberFormat="1" applyFont="1">
      <alignment/>
      <protection/>
    </xf>
    <xf numFmtId="1" fontId="5" fillId="0" borderId="0" xfId="81" applyNumberFormat="1" applyFont="1" applyFill="1">
      <alignment/>
      <protection/>
    </xf>
    <xf numFmtId="0" fontId="50" fillId="0" borderId="66" xfId="87" applyFont="1" applyBorder="1" applyAlignment="1">
      <alignment horizontal="center"/>
      <protection/>
    </xf>
    <xf numFmtId="3" fontId="50" fillId="0" borderId="62" xfId="87" applyNumberFormat="1" applyFont="1" applyBorder="1" applyAlignment="1">
      <alignment horizontal="right" vertical="center"/>
      <protection/>
    </xf>
    <xf numFmtId="3" fontId="50" fillId="0" borderId="63" xfId="87" applyNumberFormat="1" applyFont="1" applyBorder="1" applyAlignment="1">
      <alignment horizontal="right" vertical="center"/>
      <protection/>
    </xf>
    <xf numFmtId="3" fontId="50" fillId="0" borderId="64" xfId="87" applyNumberFormat="1" applyFont="1" applyBorder="1">
      <alignment/>
      <protection/>
    </xf>
    <xf numFmtId="3" fontId="50" fillId="0" borderId="66" xfId="87" applyNumberFormat="1" applyFont="1" applyBorder="1">
      <alignment/>
      <protection/>
    </xf>
    <xf numFmtId="3" fontId="50" fillId="0" borderId="65" xfId="87" applyNumberFormat="1" applyFont="1" applyBorder="1">
      <alignment/>
      <protection/>
    </xf>
    <xf numFmtId="3" fontId="50" fillId="0" borderId="63" xfId="87" applyNumberFormat="1" applyFont="1" applyBorder="1">
      <alignment/>
      <protection/>
    </xf>
    <xf numFmtId="2" fontId="50" fillId="0" borderId="38" xfId="87" applyNumberFormat="1" applyFont="1" applyFill="1" applyBorder="1" applyAlignment="1">
      <alignment horizontal="right"/>
      <protection/>
    </xf>
    <xf numFmtId="2" fontId="50" fillId="0" borderId="39" xfId="87" applyNumberFormat="1" applyFont="1" applyFill="1" applyBorder="1" applyAlignment="1">
      <alignment horizontal="right"/>
      <protection/>
    </xf>
    <xf numFmtId="172" fontId="50" fillId="0" borderId="39" xfId="87" applyNumberFormat="1" applyFont="1" applyFill="1" applyBorder="1" applyAlignment="1">
      <alignment horizontal="right"/>
      <protection/>
    </xf>
    <xf numFmtId="1" fontId="50" fillId="0" borderId="39" xfId="87" applyNumberFormat="1" applyFont="1" applyFill="1" applyBorder="1" applyAlignment="1">
      <alignment horizontal="right"/>
      <protection/>
    </xf>
    <xf numFmtId="1" fontId="50" fillId="0" borderId="40" xfId="87" applyNumberFormat="1" applyFont="1" applyFill="1" applyBorder="1" applyAlignment="1">
      <alignment horizontal="right"/>
      <protection/>
    </xf>
    <xf numFmtId="0" fontId="38" fillId="0" borderId="66" xfId="87" applyFont="1" applyBorder="1" applyAlignment="1">
      <alignment horizontal="center"/>
      <protection/>
    </xf>
    <xf numFmtId="3" fontId="38" fillId="0" borderId="62" xfId="87" applyNumberFormat="1" applyFont="1" applyBorder="1" applyAlignment="1">
      <alignment horizontal="right" vertical="center"/>
      <protection/>
    </xf>
    <xf numFmtId="3" fontId="38" fillId="0" borderId="63" xfId="87" applyNumberFormat="1" applyFont="1" applyBorder="1" applyAlignment="1">
      <alignment horizontal="right" vertical="center"/>
      <protection/>
    </xf>
    <xf numFmtId="3" fontId="38" fillId="0" borderId="64" xfId="87" applyNumberFormat="1" applyFont="1" applyBorder="1">
      <alignment/>
      <protection/>
    </xf>
    <xf numFmtId="3" fontId="38" fillId="0" borderId="65" xfId="87" applyNumberFormat="1" applyFont="1" applyBorder="1">
      <alignment/>
      <protection/>
    </xf>
    <xf numFmtId="3" fontId="38" fillId="0" borderId="63" xfId="87" applyNumberFormat="1" applyFont="1" applyBorder="1">
      <alignment/>
      <protection/>
    </xf>
    <xf numFmtId="2" fontId="38" fillId="0" borderId="62" xfId="87" applyNumberFormat="1" applyFont="1" applyFill="1" applyBorder="1" applyAlignment="1">
      <alignment horizontal="right"/>
      <protection/>
    </xf>
    <xf numFmtId="2" fontId="38" fillId="0" borderId="65" xfId="87" applyNumberFormat="1" applyFont="1" applyFill="1" applyBorder="1" applyAlignment="1">
      <alignment horizontal="right"/>
      <protection/>
    </xf>
    <xf numFmtId="172" fontId="38" fillId="0" borderId="65" xfId="87" applyNumberFormat="1" applyFont="1" applyFill="1" applyBorder="1" applyAlignment="1">
      <alignment horizontal="right"/>
      <protection/>
    </xf>
    <xf numFmtId="1" fontId="38" fillId="0" borderId="65" xfId="87" applyNumberFormat="1" applyFont="1" applyFill="1" applyBorder="1" applyAlignment="1">
      <alignment horizontal="right"/>
      <protection/>
    </xf>
    <xf numFmtId="1" fontId="38" fillId="0" borderId="63" xfId="87" applyNumberFormat="1" applyFont="1" applyFill="1" applyBorder="1" applyAlignment="1">
      <alignment horizontal="right"/>
      <protection/>
    </xf>
    <xf numFmtId="0" fontId="12" fillId="0" borderId="24" xfId="0" applyFont="1" applyBorder="1" applyAlignment="1">
      <alignment horizontal="right" wrapText="1"/>
    </xf>
    <xf numFmtId="2" fontId="12" fillId="0" borderId="24" xfId="0" applyNumberFormat="1" applyFont="1" applyBorder="1" applyAlignment="1">
      <alignment horizontal="right" wrapText="1"/>
    </xf>
    <xf numFmtId="4" fontId="12" fillId="0" borderId="24" xfId="0" applyNumberFormat="1" applyFont="1" applyBorder="1" applyAlignment="1">
      <alignment horizontal="right" wrapText="1"/>
    </xf>
    <xf numFmtId="0" fontId="52" fillId="0" borderId="0" xfId="85" applyFont="1">
      <alignment/>
      <protection/>
    </xf>
    <xf numFmtId="0" fontId="42" fillId="55" borderId="26" xfId="0" applyFont="1" applyFill="1" applyBorder="1" applyAlignment="1">
      <alignment horizontal="left" vertical="center" wrapText="1"/>
    </xf>
    <xf numFmtId="1" fontId="42" fillId="55" borderId="26" xfId="85" applyNumberFormat="1" applyFont="1" applyFill="1" applyBorder="1" applyAlignment="1">
      <alignment horizontal="right" vertical="center" wrapText="1"/>
      <protection/>
    </xf>
    <xf numFmtId="3" fontId="42" fillId="55" borderId="24" xfId="0" applyNumberFormat="1" applyFont="1" applyFill="1" applyBorder="1" applyAlignment="1">
      <alignment horizontal="right" vertical="center" wrapText="1"/>
    </xf>
    <xf numFmtId="0" fontId="42" fillId="55" borderId="24" xfId="0" applyFont="1" applyFill="1" applyBorder="1" applyAlignment="1">
      <alignment horizontal="left" vertical="center" wrapText="1"/>
    </xf>
    <xf numFmtId="1" fontId="42" fillId="55" borderId="24" xfId="85" applyNumberFormat="1" applyFont="1" applyFill="1" applyBorder="1" applyAlignment="1">
      <alignment horizontal="right" vertical="center" wrapText="1"/>
      <protection/>
    </xf>
    <xf numFmtId="0" fontId="42" fillId="6" borderId="26" xfId="0" applyFont="1" applyFill="1" applyBorder="1" applyAlignment="1">
      <alignment horizontal="center" vertical="center" wrapText="1"/>
    </xf>
    <xf numFmtId="49" fontId="42" fillId="56" borderId="23" xfId="83" applyNumberFormat="1" applyFont="1" applyFill="1" applyBorder="1" applyAlignment="1">
      <alignment horizontal="right" vertical="center" wrapText="1"/>
      <protection/>
    </xf>
    <xf numFmtId="0" fontId="42" fillId="56" borderId="23" xfId="83" applyFont="1" applyFill="1" applyBorder="1" applyAlignment="1">
      <alignment horizontal="right" vertical="center" wrapText="1"/>
      <protection/>
    </xf>
    <xf numFmtId="0" fontId="42" fillId="55" borderId="24" xfId="83" applyFont="1" applyFill="1" applyBorder="1" applyAlignment="1">
      <alignment horizontal="left" vertical="center" wrapText="1"/>
      <protection/>
    </xf>
    <xf numFmtId="1" fontId="42" fillId="55" borderId="24" xfId="86" applyNumberFormat="1" applyFont="1" applyFill="1" applyBorder="1" applyAlignment="1">
      <alignment horizontal="right" vertical="center" wrapText="1"/>
      <protection/>
    </xf>
    <xf numFmtId="3" fontId="42" fillId="55" borderId="24" xfId="83" applyNumberFormat="1" applyFont="1" applyFill="1" applyBorder="1" applyAlignment="1">
      <alignment horizontal="right" vertical="center" wrapText="1"/>
      <protection/>
    </xf>
    <xf numFmtId="3" fontId="12" fillId="0" borderId="24" xfId="83" applyNumberFormat="1" applyFont="1" applyBorder="1" applyAlignment="1" quotePrefix="1">
      <alignment horizontal="right" vertical="center"/>
      <protection/>
    </xf>
    <xf numFmtId="3" fontId="42" fillId="0" borderId="24" xfId="82" applyNumberFormat="1" applyFont="1" applyFill="1" applyBorder="1" applyAlignment="1">
      <alignment horizontal="right" vertical="center" wrapText="1"/>
      <protection/>
    </xf>
    <xf numFmtId="3" fontId="12" fillId="0" borderId="24" xfId="82" applyNumberFormat="1" applyFont="1" applyFill="1" applyBorder="1" applyAlignment="1" quotePrefix="1">
      <alignment horizontal="right" vertical="center"/>
      <protection/>
    </xf>
    <xf numFmtId="0" fontId="46" fillId="6" borderId="23" xfId="88" applyFont="1" applyFill="1" applyBorder="1" applyAlignment="1">
      <alignment horizontal="center" vertical="center" wrapText="1"/>
      <protection/>
    </xf>
    <xf numFmtId="0" fontId="53" fillId="0" borderId="0" xfId="80" applyFont="1">
      <alignment/>
      <protection/>
    </xf>
    <xf numFmtId="0" fontId="46" fillId="6" borderId="26" xfId="88" applyFont="1" applyFill="1" applyBorder="1" applyAlignment="1">
      <alignment horizontal="center" vertical="center" wrapText="1"/>
      <protection/>
    </xf>
    <xf numFmtId="49" fontId="54" fillId="56" borderId="24" xfId="88" applyNumberFormat="1" applyFont="1" applyFill="1" applyBorder="1" applyAlignment="1">
      <alignment horizontal="center" vertical="center" wrapText="1"/>
      <protection/>
    </xf>
    <xf numFmtId="0" fontId="54" fillId="56" borderId="24" xfId="88" applyFont="1" applyFill="1" applyBorder="1" applyAlignment="1">
      <alignment horizontal="center" vertical="center" wrapText="1"/>
      <protection/>
    </xf>
    <xf numFmtId="3" fontId="54" fillId="55" borderId="24" xfId="88" applyNumberFormat="1" applyFont="1" applyFill="1" applyBorder="1" applyAlignment="1">
      <alignment horizontal="right" vertical="center" wrapText="1"/>
      <protection/>
    </xf>
    <xf numFmtId="0" fontId="54" fillId="6" borderId="26" xfId="88" applyFont="1" applyFill="1" applyBorder="1" applyAlignment="1">
      <alignment horizontal="center" vertical="center" wrapText="1"/>
      <protection/>
    </xf>
    <xf numFmtId="3" fontId="42" fillId="55" borderId="24" xfId="84" applyNumberFormat="1" applyFont="1" applyFill="1" applyBorder="1" applyAlignment="1">
      <alignment horizontal="right" vertical="center" wrapText="1"/>
      <protection/>
    </xf>
    <xf numFmtId="0" fontId="42" fillId="6" borderId="26" xfId="84" applyFont="1" applyFill="1" applyBorder="1" applyAlignment="1">
      <alignment horizontal="center" vertical="center" wrapText="1"/>
      <protection/>
    </xf>
    <xf numFmtId="1" fontId="42" fillId="55" borderId="23" xfId="86" applyNumberFormat="1" applyFont="1" applyFill="1" applyBorder="1" applyAlignment="1">
      <alignment horizontal="right" vertical="center" wrapText="1"/>
      <protection/>
    </xf>
    <xf numFmtId="173" fontId="13" fillId="0" borderId="67" xfId="0" applyNumberFormat="1" applyFont="1" applyBorder="1" applyAlignment="1">
      <alignment/>
    </xf>
    <xf numFmtId="173" fontId="13" fillId="0" borderId="27" xfId="0" applyNumberFormat="1" applyFont="1" applyBorder="1" applyAlignment="1">
      <alignment/>
    </xf>
    <xf numFmtId="1" fontId="13" fillId="0" borderId="27" xfId="0" applyNumberFormat="1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0" fillId="0" borderId="0" xfId="88" applyFont="1">
      <alignment/>
      <protection/>
    </xf>
    <xf numFmtId="3" fontId="12" fillId="55" borderId="24" xfId="80" applyNumberFormat="1" applyFont="1" applyFill="1" applyBorder="1" applyAlignment="1">
      <alignment horizontal="left" vertical="center" wrapText="1" indent="1"/>
      <protection/>
    </xf>
    <xf numFmtId="0" fontId="13" fillId="0" borderId="27" xfId="79" applyFont="1" applyBorder="1" applyAlignment="1" quotePrefix="1">
      <alignment horizontal="left"/>
      <protection/>
    </xf>
    <xf numFmtId="49" fontId="12" fillId="0" borderId="23" xfId="85" applyNumberFormat="1" applyFont="1" applyBorder="1" applyAlignment="1" quotePrefix="1">
      <alignment horizontal="left" vertical="center" indent="1"/>
      <protection/>
    </xf>
    <xf numFmtId="173" fontId="12" fillId="0" borderId="27" xfId="79" applyNumberFormat="1" applyFont="1" applyBorder="1" applyAlignment="1">
      <alignment horizontal="center"/>
      <protection/>
    </xf>
    <xf numFmtId="173" fontId="12" fillId="0" borderId="27" xfId="79" applyNumberFormat="1" applyFont="1" applyBorder="1" applyAlignment="1">
      <alignment horizontal="right"/>
      <protection/>
    </xf>
    <xf numFmtId="1" fontId="12" fillId="0" borderId="27" xfId="0" applyNumberFormat="1" applyFont="1" applyBorder="1" applyAlignment="1">
      <alignment/>
    </xf>
    <xf numFmtId="0" fontId="55" fillId="0" borderId="0" xfId="79" applyFont="1">
      <alignment/>
      <protection/>
    </xf>
    <xf numFmtId="175" fontId="55" fillId="0" borderId="0" xfId="91" applyNumberFormat="1" applyFont="1" applyAlignment="1">
      <alignment/>
    </xf>
    <xf numFmtId="49" fontId="12" fillId="0" borderId="27" xfId="79" applyNumberFormat="1" applyFont="1" applyBorder="1" applyAlignment="1" quotePrefix="1">
      <alignment horizontal="left" wrapText="1" indent="2"/>
      <protection/>
    </xf>
    <xf numFmtId="49" fontId="12" fillId="0" borderId="27" xfId="79" applyNumberFormat="1" applyFont="1" applyBorder="1" applyAlignment="1">
      <alignment horizontal="left" wrapText="1" indent="2"/>
      <protection/>
    </xf>
    <xf numFmtId="1" fontId="12" fillId="0" borderId="27" xfId="0" applyNumberFormat="1" applyFont="1" applyBorder="1" applyAlignment="1">
      <alignment horizontal="right"/>
    </xf>
    <xf numFmtId="0" fontId="13" fillId="6" borderId="26" xfId="85" applyFont="1" applyFill="1" applyBorder="1" applyAlignment="1">
      <alignment horizontal="center" vertical="center" wrapText="1"/>
      <protection/>
    </xf>
    <xf numFmtId="3" fontId="13" fillId="55" borderId="24" xfId="80" applyNumberFormat="1" applyFont="1" applyFill="1" applyBorder="1" applyAlignment="1">
      <alignment horizontal="left" vertical="center" wrapText="1"/>
      <protection/>
    </xf>
    <xf numFmtId="3" fontId="13" fillId="55" borderId="24" xfId="80" applyNumberFormat="1" applyFont="1" applyFill="1" applyBorder="1" applyAlignment="1">
      <alignment horizontal="right" vertical="center"/>
      <protection/>
    </xf>
    <xf numFmtId="175" fontId="13" fillId="55" borderId="24" xfId="91" applyNumberFormat="1" applyFont="1" applyFill="1" applyBorder="1" applyAlignment="1">
      <alignment horizontal="right" vertical="center"/>
    </xf>
    <xf numFmtId="3" fontId="12" fillId="55" borderId="24" xfId="80" applyNumberFormat="1" applyFont="1" applyFill="1" applyBorder="1" applyAlignment="1">
      <alignment horizontal="left" vertical="center" wrapText="1" indent="1"/>
      <protection/>
    </xf>
    <xf numFmtId="3" fontId="12" fillId="55" borderId="24" xfId="80" applyNumberFormat="1" applyFont="1" applyFill="1" applyBorder="1" applyAlignment="1">
      <alignment horizontal="right" vertical="center" wrapText="1"/>
      <protection/>
    </xf>
    <xf numFmtId="3" fontId="12" fillId="55" borderId="24" xfId="80" applyNumberFormat="1" applyFont="1" applyFill="1" applyBorder="1" applyAlignment="1">
      <alignment horizontal="right" vertical="center" wrapText="1"/>
      <protection/>
    </xf>
    <xf numFmtId="175" fontId="12" fillId="55" borderId="24" xfId="91" applyNumberFormat="1" applyFont="1" applyFill="1" applyBorder="1" applyAlignment="1">
      <alignment horizontal="right" vertical="center" wrapText="1"/>
    </xf>
    <xf numFmtId="3" fontId="12" fillId="55" borderId="24" xfId="80" applyNumberFormat="1" applyFont="1" applyFill="1" applyBorder="1" applyAlignment="1" quotePrefix="1">
      <alignment horizontal="right" vertical="center" wrapText="1"/>
      <protection/>
    </xf>
    <xf numFmtId="3" fontId="13" fillId="55" borderId="24" xfId="80" applyNumberFormat="1" applyFont="1" applyFill="1" applyBorder="1" applyAlignment="1">
      <alignment horizontal="right" vertical="center" wrapText="1"/>
      <protection/>
    </xf>
    <xf numFmtId="3" fontId="13" fillId="55" borderId="24" xfId="80" applyNumberFormat="1" applyFont="1" applyFill="1" applyBorder="1" applyAlignment="1">
      <alignment horizontal="right" vertical="center" wrapText="1"/>
      <protection/>
    </xf>
    <xf numFmtId="175" fontId="13" fillId="55" borderId="24" xfId="91" applyNumberFormat="1" applyFont="1" applyFill="1" applyBorder="1" applyAlignment="1">
      <alignment horizontal="right" vertical="center" wrapText="1"/>
    </xf>
    <xf numFmtId="3" fontId="12" fillId="55" borderId="24" xfId="80" applyNumberFormat="1" applyFont="1" applyFill="1" applyBorder="1" applyAlignment="1" quotePrefix="1">
      <alignment horizontal="left" vertical="center" wrapText="1" indent="1"/>
      <protection/>
    </xf>
    <xf numFmtId="175" fontId="12" fillId="55" borderId="24" xfId="91" applyNumberFormat="1" applyFont="1" applyFill="1" applyBorder="1" applyAlignment="1">
      <alignment horizontal="right" vertical="center" wrapText="1"/>
    </xf>
    <xf numFmtId="3" fontId="12" fillId="55" borderId="24" xfId="80" applyNumberFormat="1" applyFont="1" applyFill="1" applyBorder="1" applyAlignment="1" quotePrefix="1">
      <alignment horizontal="left" vertical="center" wrapText="1" indent="1"/>
      <protection/>
    </xf>
    <xf numFmtId="3" fontId="13" fillId="55" borderId="24" xfId="80" applyNumberFormat="1" applyFont="1" applyFill="1" applyBorder="1" applyAlignment="1">
      <alignment horizontal="right" vertical="center"/>
      <protection/>
    </xf>
    <xf numFmtId="175" fontId="13" fillId="55" borderId="24" xfId="91" applyNumberFormat="1" applyFont="1" applyFill="1" applyBorder="1" applyAlignment="1">
      <alignment horizontal="right" vertical="center"/>
    </xf>
    <xf numFmtId="3" fontId="13" fillId="55" borderId="24" xfId="80" applyNumberFormat="1" applyFont="1" applyFill="1" applyBorder="1" applyAlignment="1" quotePrefix="1">
      <alignment horizontal="left" vertical="center" wrapText="1"/>
      <protection/>
    </xf>
    <xf numFmtId="0" fontId="0" fillId="0" borderId="0" xfId="88" applyFont="1">
      <alignment/>
      <protection/>
    </xf>
    <xf numFmtId="3" fontId="13" fillId="55" borderId="24" xfId="80" applyNumberFormat="1" applyFont="1" applyFill="1" applyBorder="1" applyAlignment="1">
      <alignment horizontal="right"/>
      <protection/>
    </xf>
    <xf numFmtId="175" fontId="13" fillId="55" borderId="24" xfId="91" applyNumberFormat="1" applyFont="1" applyFill="1" applyBorder="1" applyAlignment="1">
      <alignment horizontal="right"/>
    </xf>
    <xf numFmtId="0" fontId="56" fillId="0" borderId="51" xfId="81" applyFont="1" applyFill="1" applyBorder="1" applyAlignment="1">
      <alignment horizontal="center" vertical="center"/>
      <protection/>
    </xf>
    <xf numFmtId="0" fontId="57" fillId="0" borderId="52" xfId="81" applyFont="1" applyFill="1" applyBorder="1" applyAlignment="1">
      <alignment horizontal="right" vertical="center"/>
      <protection/>
    </xf>
    <xf numFmtId="0" fontId="57" fillId="0" borderId="54" xfId="81" applyFont="1" applyFill="1" applyBorder="1" applyAlignment="1">
      <alignment horizontal="right" vertical="center"/>
      <protection/>
    </xf>
    <xf numFmtId="0" fontId="57" fillId="0" borderId="68" xfId="81" applyFont="1" applyFill="1" applyBorder="1" applyAlignment="1">
      <alignment horizontal="right" vertical="center"/>
      <protection/>
    </xf>
    <xf numFmtId="0" fontId="57" fillId="0" borderId="55" xfId="81" applyFont="1" applyFill="1" applyBorder="1" applyAlignment="1">
      <alignment horizontal="right" vertical="center"/>
      <protection/>
    </xf>
    <xf numFmtId="0" fontId="57" fillId="0" borderId="69" xfId="81" applyFont="1" applyFill="1" applyBorder="1" applyAlignment="1">
      <alignment horizontal="right" vertical="center"/>
      <protection/>
    </xf>
    <xf numFmtId="2" fontId="57" fillId="0" borderId="52" xfId="81" applyNumberFormat="1" applyFont="1" applyFill="1" applyBorder="1" applyAlignment="1">
      <alignment horizontal="right" vertical="center"/>
      <protection/>
    </xf>
    <xf numFmtId="2" fontId="57" fillId="0" borderId="55" xfId="81" applyNumberFormat="1" applyFont="1" applyFill="1" applyBorder="1" applyAlignment="1">
      <alignment horizontal="right" vertical="center"/>
      <protection/>
    </xf>
    <xf numFmtId="172" fontId="57" fillId="0" borderId="55" xfId="81" applyNumberFormat="1" applyFont="1" applyFill="1" applyBorder="1" applyAlignment="1">
      <alignment horizontal="right" vertical="center"/>
      <protection/>
    </xf>
    <xf numFmtId="1" fontId="57" fillId="0" borderId="55" xfId="81" applyNumberFormat="1" applyFont="1" applyFill="1" applyBorder="1" applyAlignment="1">
      <alignment horizontal="right" vertical="center"/>
      <protection/>
    </xf>
    <xf numFmtId="1" fontId="57" fillId="0" borderId="53" xfId="81" applyNumberFormat="1" applyFont="1" applyFill="1" applyBorder="1" applyAlignment="1">
      <alignment horizontal="right" vertical="center"/>
      <protection/>
    </xf>
    <xf numFmtId="0" fontId="56" fillId="0" borderId="47" xfId="81" applyFont="1" applyFill="1" applyBorder="1" applyAlignment="1">
      <alignment horizontal="center" vertical="center"/>
      <protection/>
    </xf>
    <xf numFmtId="0" fontId="57" fillId="0" borderId="32" xfId="81" applyFont="1" applyFill="1" applyBorder="1" applyAlignment="1">
      <alignment horizontal="right" vertical="center"/>
      <protection/>
    </xf>
    <xf numFmtId="0" fontId="57" fillId="0" borderId="46" xfId="81" applyFont="1" applyFill="1" applyBorder="1" applyAlignment="1">
      <alignment horizontal="right" vertical="center"/>
      <protection/>
    </xf>
    <xf numFmtId="0" fontId="57" fillId="0" borderId="49" xfId="81" applyFont="1" applyFill="1" applyBorder="1" applyAlignment="1">
      <alignment horizontal="right" vertical="center"/>
      <protection/>
    </xf>
    <xf numFmtId="0" fontId="57" fillId="0" borderId="46" xfId="81" applyFont="1" applyFill="1" applyBorder="1" applyAlignment="1">
      <alignment vertical="center"/>
      <protection/>
    </xf>
    <xf numFmtId="0" fontId="57" fillId="0" borderId="49" xfId="81" applyFont="1" applyFill="1" applyBorder="1" applyAlignment="1">
      <alignment vertical="center"/>
      <protection/>
    </xf>
    <xf numFmtId="3" fontId="50" fillId="0" borderId="48" xfId="81" applyNumberFormat="1" applyFont="1" applyFill="1" applyBorder="1" applyAlignment="1">
      <alignment vertical="center"/>
      <protection/>
    </xf>
    <xf numFmtId="1" fontId="57" fillId="0" borderId="51" xfId="81" applyNumberFormat="1" applyFont="1" applyFill="1" applyBorder="1" applyAlignment="1">
      <alignment horizontal="right" vertical="center"/>
      <protection/>
    </xf>
    <xf numFmtId="2" fontId="50" fillId="0" borderId="32" xfId="87" applyNumberFormat="1" applyFont="1" applyFill="1" applyBorder="1" applyAlignment="1">
      <alignment horizontal="right"/>
      <protection/>
    </xf>
    <xf numFmtId="2" fontId="50" fillId="0" borderId="33" xfId="87" applyNumberFormat="1" applyFont="1" applyFill="1" applyBorder="1" applyAlignment="1">
      <alignment horizontal="right"/>
      <protection/>
    </xf>
    <xf numFmtId="172" fontId="50" fillId="0" borderId="33" xfId="87" applyNumberFormat="1" applyFont="1" applyFill="1" applyBorder="1" applyAlignment="1">
      <alignment horizontal="right"/>
      <protection/>
    </xf>
    <xf numFmtId="1" fontId="50" fillId="0" borderId="33" xfId="87" applyNumberFormat="1" applyFont="1" applyFill="1" applyBorder="1" applyAlignment="1">
      <alignment horizontal="right"/>
      <protection/>
    </xf>
    <xf numFmtId="1" fontId="50" fillId="0" borderId="48" xfId="87" applyNumberFormat="1" applyFont="1" applyFill="1" applyBorder="1" applyAlignment="1">
      <alignment horizontal="right"/>
      <protection/>
    </xf>
    <xf numFmtId="49" fontId="50" fillId="0" borderId="47" xfId="81" applyNumberFormat="1" applyFont="1" applyBorder="1" applyAlignment="1">
      <alignment horizontal="center" vertical="center" wrapText="1"/>
      <protection/>
    </xf>
    <xf numFmtId="0" fontId="57" fillId="0" borderId="32" xfId="81" applyFont="1" applyBorder="1" applyAlignment="1">
      <alignment horizontal="right" vertical="center"/>
      <protection/>
    </xf>
    <xf numFmtId="0" fontId="57" fillId="0" borderId="33" xfId="81" applyFont="1" applyBorder="1" applyAlignment="1">
      <alignment horizontal="right" vertical="center"/>
      <protection/>
    </xf>
    <xf numFmtId="0" fontId="56" fillId="0" borderId="41" xfId="81" applyFont="1" applyFill="1" applyBorder="1" applyAlignment="1">
      <alignment horizontal="center" vertical="center"/>
      <protection/>
    </xf>
    <xf numFmtId="49" fontId="50" fillId="0" borderId="41" xfId="81" applyNumberFormat="1" applyFont="1" applyBorder="1" applyAlignment="1">
      <alignment horizontal="center" vertical="center" wrapText="1"/>
      <protection/>
    </xf>
    <xf numFmtId="0" fontId="57" fillId="0" borderId="42" xfId="81" applyFont="1" applyBorder="1" applyAlignment="1">
      <alignment vertical="center"/>
      <protection/>
    </xf>
    <xf numFmtId="0" fontId="57" fillId="0" borderId="19" xfId="81" applyFont="1" applyBorder="1" applyAlignment="1">
      <alignment vertical="center"/>
      <protection/>
    </xf>
    <xf numFmtId="0" fontId="8" fillId="0" borderId="0" xfId="88" applyFont="1">
      <alignment/>
      <protection/>
    </xf>
    <xf numFmtId="173" fontId="13" fillId="0" borderId="27" xfId="0" applyNumberFormat="1" applyFont="1" applyBorder="1" applyAlignment="1">
      <alignment/>
    </xf>
    <xf numFmtId="173" fontId="12" fillId="0" borderId="27" xfId="0" applyNumberFormat="1" applyFont="1" applyBorder="1" applyAlignment="1">
      <alignment/>
    </xf>
    <xf numFmtId="173" fontId="12" fillId="0" borderId="67" xfId="0" applyNumberFormat="1" applyFont="1" applyBorder="1" applyAlignment="1">
      <alignment/>
    </xf>
    <xf numFmtId="3" fontId="42" fillId="0" borderId="24" xfId="0" applyNumberFormat="1" applyFont="1" applyFill="1" applyBorder="1" applyAlignment="1">
      <alignment horizontal="right" vertical="center" wrapText="1"/>
    </xf>
    <xf numFmtId="3" fontId="12" fillId="0" borderId="24" xfId="0" applyNumberFormat="1" applyFont="1" applyFill="1" applyBorder="1" applyAlignment="1" quotePrefix="1">
      <alignment horizontal="right" vertical="center"/>
    </xf>
    <xf numFmtId="3" fontId="12" fillId="0" borderId="24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6" fillId="55" borderId="24" xfId="88" applyFont="1" applyFill="1" applyBorder="1" applyAlignment="1" quotePrefix="1">
      <alignment horizontal="left" vertical="center" wrapText="1" indent="2"/>
      <protection/>
    </xf>
    <xf numFmtId="49" fontId="38" fillId="0" borderId="19" xfId="81" applyNumberFormat="1" applyFont="1" applyBorder="1" applyAlignment="1">
      <alignment horizontal="center" vertical="center" wrapText="1"/>
      <protection/>
    </xf>
    <xf numFmtId="3" fontId="38" fillId="0" borderId="19" xfId="81" applyNumberFormat="1" applyFont="1" applyFill="1" applyBorder="1" applyAlignment="1">
      <alignment vertical="center"/>
      <protection/>
    </xf>
    <xf numFmtId="3" fontId="38" fillId="0" borderId="32" xfId="81" applyNumberFormat="1" applyFont="1" applyFill="1" applyBorder="1" applyAlignment="1">
      <alignment vertical="center"/>
      <protection/>
    </xf>
    <xf numFmtId="3" fontId="38" fillId="0" borderId="48" xfId="81" applyNumberFormat="1" applyFont="1" applyFill="1" applyBorder="1" applyAlignment="1">
      <alignment vertical="center"/>
      <protection/>
    </xf>
    <xf numFmtId="3" fontId="38" fillId="0" borderId="46" xfId="81" applyNumberFormat="1" applyFont="1" applyFill="1" applyBorder="1" applyAlignment="1">
      <alignment vertical="center"/>
      <protection/>
    </xf>
    <xf numFmtId="3" fontId="38" fillId="0" borderId="49" xfId="81" applyNumberFormat="1" applyFont="1" applyFill="1" applyBorder="1" applyAlignment="1">
      <alignment vertical="center"/>
      <protection/>
    </xf>
    <xf numFmtId="0" fontId="58" fillId="0" borderId="70" xfId="81" applyFont="1" applyFill="1" applyBorder="1" applyAlignment="1">
      <alignment horizontal="center" vertical="center"/>
      <protection/>
    </xf>
    <xf numFmtId="3" fontId="38" fillId="0" borderId="71" xfId="81" applyNumberFormat="1" applyFont="1" applyFill="1" applyBorder="1" applyAlignment="1">
      <alignment vertical="center"/>
      <protection/>
    </xf>
    <xf numFmtId="3" fontId="38" fillId="0" borderId="72" xfId="81" applyNumberFormat="1" applyFont="1" applyFill="1" applyBorder="1" applyAlignment="1">
      <alignment vertical="center"/>
      <protection/>
    </xf>
    <xf numFmtId="3" fontId="38" fillId="0" borderId="73" xfId="81" applyNumberFormat="1" applyFont="1" applyFill="1" applyBorder="1" applyAlignment="1">
      <alignment vertical="center"/>
      <protection/>
    </xf>
    <xf numFmtId="3" fontId="38" fillId="0" borderId="74" xfId="81" applyNumberFormat="1" applyFont="1" applyFill="1" applyBorder="1" applyAlignment="1">
      <alignment vertical="center"/>
      <protection/>
    </xf>
    <xf numFmtId="3" fontId="38" fillId="0" borderId="72" xfId="81" applyNumberFormat="1" applyFont="1" applyBorder="1" applyAlignment="1">
      <alignment vertical="center"/>
      <protection/>
    </xf>
    <xf numFmtId="2" fontId="38" fillId="0" borderId="71" xfId="87" applyNumberFormat="1" applyFont="1" applyFill="1" applyBorder="1" applyAlignment="1">
      <alignment horizontal="right"/>
      <protection/>
    </xf>
    <xf numFmtId="2" fontId="38" fillId="0" borderId="75" xfId="87" applyNumberFormat="1" applyFont="1" applyFill="1" applyBorder="1" applyAlignment="1">
      <alignment horizontal="right"/>
      <protection/>
    </xf>
    <xf numFmtId="172" fontId="38" fillId="0" borderId="75" xfId="87" applyNumberFormat="1" applyFont="1" applyFill="1" applyBorder="1" applyAlignment="1">
      <alignment horizontal="right"/>
      <protection/>
    </xf>
    <xf numFmtId="1" fontId="38" fillId="0" borderId="75" xfId="87" applyNumberFormat="1" applyFont="1" applyFill="1" applyBorder="1" applyAlignment="1">
      <alignment horizontal="right"/>
      <protection/>
    </xf>
    <xf numFmtId="1" fontId="38" fillId="0" borderId="72" xfId="87" applyNumberFormat="1" applyFont="1" applyFill="1" applyBorder="1" applyAlignment="1">
      <alignment horizontal="right"/>
      <protection/>
    </xf>
    <xf numFmtId="0" fontId="58" fillId="0" borderId="19" xfId="81" applyFont="1" applyFill="1" applyBorder="1" applyAlignment="1">
      <alignment horizontal="center" vertical="center"/>
      <protection/>
    </xf>
    <xf numFmtId="1" fontId="57" fillId="0" borderId="47" xfId="81" applyNumberFormat="1" applyFont="1" applyFill="1" applyBorder="1" applyAlignment="1">
      <alignment horizontal="right" vertical="center"/>
      <protection/>
    </xf>
    <xf numFmtId="1" fontId="57" fillId="0" borderId="48" xfId="81" applyNumberFormat="1" applyFont="1" applyFill="1" applyBorder="1" applyAlignment="1">
      <alignment horizontal="right" vertical="center"/>
      <protection/>
    </xf>
    <xf numFmtId="0" fontId="57" fillId="0" borderId="33" xfId="81" applyFont="1" applyFill="1" applyBorder="1" applyAlignment="1">
      <alignment horizontal="right" vertical="center"/>
      <protection/>
    </xf>
    <xf numFmtId="0" fontId="57" fillId="0" borderId="76" xfId="81" applyFont="1" applyFill="1" applyBorder="1" applyAlignment="1">
      <alignment horizontal="right" vertical="center"/>
      <protection/>
    </xf>
    <xf numFmtId="2" fontId="57" fillId="0" borderId="32" xfId="81" applyNumberFormat="1" applyFont="1" applyFill="1" applyBorder="1" applyAlignment="1">
      <alignment horizontal="right" vertical="center"/>
      <protection/>
    </xf>
    <xf numFmtId="2" fontId="57" fillId="0" borderId="33" xfId="81" applyNumberFormat="1" applyFont="1" applyFill="1" applyBorder="1" applyAlignment="1">
      <alignment horizontal="right" vertical="center"/>
      <protection/>
    </xf>
    <xf numFmtId="172" fontId="57" fillId="0" borderId="33" xfId="81" applyNumberFormat="1" applyFont="1" applyFill="1" applyBorder="1" applyAlignment="1">
      <alignment horizontal="right" vertical="center"/>
      <protection/>
    </xf>
    <xf numFmtId="1" fontId="57" fillId="0" borderId="33" xfId="81" applyNumberFormat="1" applyFont="1" applyFill="1" applyBorder="1" applyAlignment="1">
      <alignment horizontal="right" vertical="center"/>
      <protection/>
    </xf>
    <xf numFmtId="3" fontId="38" fillId="0" borderId="32" xfId="78" applyNumberFormat="1" applyFont="1" applyFill="1" applyBorder="1" applyAlignment="1">
      <alignment vertical="center"/>
      <protection/>
    </xf>
    <xf numFmtId="3" fontId="38" fillId="0" borderId="48" xfId="78" applyNumberFormat="1" applyFont="1" applyBorder="1" applyAlignment="1">
      <alignment vertical="center"/>
      <protection/>
    </xf>
    <xf numFmtId="3" fontId="38" fillId="0" borderId="46" xfId="78" applyNumberFormat="1" applyFont="1" applyBorder="1" applyAlignment="1">
      <alignment vertical="center"/>
      <protection/>
    </xf>
    <xf numFmtId="3" fontId="38" fillId="0" borderId="33" xfId="78" applyNumberFormat="1" applyFont="1" applyBorder="1" applyAlignment="1">
      <alignment vertical="center"/>
      <protection/>
    </xf>
    <xf numFmtId="2" fontId="38" fillId="0" borderId="46" xfId="81" applyNumberFormat="1" applyFont="1" applyFill="1" applyBorder="1" applyAlignment="1">
      <alignment vertical="center"/>
      <protection/>
    </xf>
    <xf numFmtId="2" fontId="38" fillId="0" borderId="33" xfId="81" applyNumberFormat="1" applyFont="1" applyFill="1" applyBorder="1" applyAlignment="1">
      <alignment vertical="center"/>
      <protection/>
    </xf>
    <xf numFmtId="172" fontId="38" fillId="0" borderId="33" xfId="81" applyNumberFormat="1" applyFont="1" applyFill="1" applyBorder="1" applyAlignment="1">
      <alignment vertical="center"/>
      <protection/>
    </xf>
    <xf numFmtId="1" fontId="38" fillId="0" borderId="33" xfId="81" applyNumberFormat="1" applyFont="1" applyFill="1" applyBorder="1" applyAlignment="1">
      <alignment vertical="center"/>
      <protection/>
    </xf>
    <xf numFmtId="1" fontId="38" fillId="0" borderId="48" xfId="81" applyNumberFormat="1" applyFont="1" applyFill="1" applyBorder="1" applyAlignment="1">
      <alignment vertical="center"/>
      <protection/>
    </xf>
    <xf numFmtId="3" fontId="38" fillId="0" borderId="77" xfId="81" applyNumberFormat="1" applyFont="1" applyFill="1" applyBorder="1" applyAlignment="1">
      <alignment vertical="center"/>
      <protection/>
    </xf>
    <xf numFmtId="3" fontId="38" fillId="0" borderId="60" xfId="81" applyNumberFormat="1" applyFont="1" applyBorder="1" applyAlignment="1">
      <alignment vertical="center"/>
      <protection/>
    </xf>
    <xf numFmtId="3" fontId="38" fillId="0" borderId="78" xfId="81" applyNumberFormat="1" applyFont="1" applyFill="1" applyBorder="1" applyAlignment="1">
      <alignment vertical="center"/>
      <protection/>
    </xf>
    <xf numFmtId="3" fontId="38" fillId="0" borderId="59" xfId="78" applyNumberFormat="1" applyFont="1" applyBorder="1" applyAlignment="1">
      <alignment vertical="center"/>
      <protection/>
    </xf>
    <xf numFmtId="49" fontId="38" fillId="0" borderId="47" xfId="81" applyNumberFormat="1" applyFont="1" applyBorder="1" applyAlignment="1" quotePrefix="1">
      <alignment horizontal="center" vertical="center" wrapText="1"/>
      <protection/>
    </xf>
    <xf numFmtId="49" fontId="38" fillId="0" borderId="51" xfId="81" applyNumberFormat="1" applyFont="1" applyBorder="1" applyAlignment="1" quotePrefix="1">
      <alignment horizontal="center" vertical="center" wrapText="1"/>
      <protection/>
    </xf>
    <xf numFmtId="174" fontId="6" fillId="0" borderId="19" xfId="0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5" fillId="0" borderId="22" xfId="0" applyFont="1" applyBorder="1" applyAlignment="1" quotePrefix="1">
      <alignment horizontal="center" wrapText="1"/>
    </xf>
    <xf numFmtId="0" fontId="5" fillId="0" borderId="33" xfId="0" applyFont="1" applyBorder="1" applyAlignment="1" quotePrefix="1">
      <alignment horizontal="left" wrapText="1"/>
    </xf>
    <xf numFmtId="14" fontId="4" fillId="0" borderId="19" xfId="0" applyNumberFormat="1" applyFont="1" applyFill="1" applyBorder="1" applyAlignment="1" quotePrefix="1">
      <alignment horizontal="center" wrapText="1"/>
    </xf>
    <xf numFmtId="174" fontId="5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4" fillId="0" borderId="79" xfId="0" applyFont="1" applyFill="1" applyBorder="1" applyAlignment="1" quotePrefix="1">
      <alignment horizontal="center" wrapText="1"/>
    </xf>
    <xf numFmtId="0" fontId="6" fillId="0" borderId="79" xfId="0" applyFont="1" applyBorder="1" applyAlignment="1">
      <alignment wrapText="1"/>
    </xf>
    <xf numFmtId="174" fontId="6" fillId="0" borderId="79" xfId="0" applyNumberFormat="1" applyFont="1" applyBorder="1" applyAlignment="1" quotePrefix="1">
      <alignment horizontal="right"/>
    </xf>
    <xf numFmtId="174" fontId="6" fillId="0" borderId="79" xfId="0" applyNumberFormat="1" applyFont="1" applyBorder="1" applyAlignment="1" quotePrefix="1">
      <alignment horizontal="center"/>
    </xf>
    <xf numFmtId="0" fontId="5" fillId="0" borderId="79" xfId="0" applyFont="1" applyBorder="1" applyAlignment="1">
      <alignment horizontal="center" wrapText="1"/>
    </xf>
    <xf numFmtId="0" fontId="4" fillId="0" borderId="79" xfId="0" applyFont="1" applyFill="1" applyBorder="1" applyAlignment="1">
      <alignment horizontal="center" wrapText="1"/>
    </xf>
    <xf numFmtId="0" fontId="6" fillId="0" borderId="33" xfId="0" applyFont="1" applyBorder="1" applyAlignment="1" quotePrefix="1">
      <alignment horizontal="left" wrapText="1"/>
    </xf>
    <xf numFmtId="174" fontId="6" fillId="0" borderId="33" xfId="0" applyNumberFormat="1" applyFont="1" applyBorder="1" applyAlignment="1" quotePrefix="1">
      <alignment horizontal="right"/>
    </xf>
    <xf numFmtId="0" fontId="5" fillId="0" borderId="33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39" xfId="0" applyFont="1" applyFill="1" applyBorder="1" applyAlignment="1" quotePrefix="1">
      <alignment horizontal="center" wrapText="1"/>
    </xf>
    <xf numFmtId="0" fontId="6" fillId="0" borderId="39" xfId="0" applyFont="1" applyBorder="1" applyAlignment="1">
      <alignment wrapText="1"/>
    </xf>
    <xf numFmtId="174" fontId="6" fillId="0" borderId="39" xfId="0" applyNumberFormat="1" applyFont="1" applyBorder="1" applyAlignment="1" quotePrefix="1">
      <alignment horizontal="right"/>
    </xf>
    <xf numFmtId="174" fontId="6" fillId="0" borderId="39" xfId="0" applyNumberFormat="1" applyFont="1" applyBorder="1" applyAlignment="1" quotePrefix="1">
      <alignment horizontal="center"/>
    </xf>
    <xf numFmtId="0" fontId="5" fillId="0" borderId="39" xfId="0" applyFont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3" fillId="0" borderId="79" xfId="0" applyFont="1" applyFill="1" applyBorder="1" applyAlignment="1" quotePrefix="1">
      <alignment horizontal="left" wrapText="1"/>
    </xf>
    <xf numFmtId="0" fontId="56" fillId="0" borderId="19" xfId="0" applyFont="1" applyFill="1" applyBorder="1" applyAlignment="1">
      <alignment horizontal="left" wrapText="1" indent="1"/>
    </xf>
    <xf numFmtId="0" fontId="56" fillId="0" borderId="39" xfId="0" applyFont="1" applyFill="1" applyBorder="1" applyAlignment="1" quotePrefix="1">
      <alignment horizontal="center" vertical="center" wrapText="1"/>
    </xf>
    <xf numFmtId="0" fontId="6" fillId="40" borderId="19" xfId="0" applyFont="1" applyFill="1" applyBorder="1" applyAlignment="1">
      <alignment horizontal="center" wrapText="1"/>
    </xf>
    <xf numFmtId="0" fontId="5" fillId="40" borderId="19" xfId="0" applyFont="1" applyFill="1" applyBorder="1" applyAlignment="1" quotePrefix="1">
      <alignment horizontal="left" wrapText="1"/>
    </xf>
    <xf numFmtId="174" fontId="5" fillId="40" borderId="19" xfId="0" applyNumberFormat="1" applyFont="1" applyFill="1" applyBorder="1" applyAlignment="1" quotePrefix="1">
      <alignment horizontal="right"/>
    </xf>
    <xf numFmtId="0" fontId="5" fillId="40" borderId="19" xfId="0" applyFont="1" applyFill="1" applyBorder="1" applyAlignment="1">
      <alignment horizontal="center" wrapText="1"/>
    </xf>
    <xf numFmtId="0" fontId="5" fillId="40" borderId="19" xfId="0" applyFont="1" applyFill="1" applyBorder="1" applyAlignment="1">
      <alignment horizontal="left" wrapText="1"/>
    </xf>
    <xf numFmtId="0" fontId="4" fillId="40" borderId="19" xfId="0" applyFont="1" applyFill="1" applyBorder="1" applyAlignment="1" quotePrefix="1">
      <alignment horizontal="center" wrapText="1"/>
    </xf>
    <xf numFmtId="174" fontId="6" fillId="0" borderId="65" xfId="0" applyNumberFormat="1" applyFont="1" applyBorder="1" applyAlignment="1" quotePrefix="1">
      <alignment horizontal="center"/>
    </xf>
    <xf numFmtId="174" fontId="6" fillId="0" borderId="80" xfId="0" applyNumberFormat="1" applyFont="1" applyBorder="1" applyAlignment="1" quotePrefix="1">
      <alignment horizontal="center"/>
    </xf>
    <xf numFmtId="175" fontId="12" fillId="0" borderId="27" xfId="91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74" fontId="6" fillId="0" borderId="33" xfId="0" applyNumberFormat="1" applyFont="1" applyBorder="1" applyAlignment="1" quotePrefix="1">
      <alignment horizontal="center"/>
    </xf>
    <xf numFmtId="174" fontId="5" fillId="0" borderId="21" xfId="0" applyNumberFormat="1" applyFont="1" applyBorder="1" applyAlignment="1" quotePrefix="1">
      <alignment horizontal="center"/>
    </xf>
    <xf numFmtId="174" fontId="5" fillId="0" borderId="21" xfId="0" applyNumberFormat="1" applyFont="1" applyBorder="1" applyAlignment="1" quotePrefix="1">
      <alignment horizontal="center" wrapText="1"/>
    </xf>
    <xf numFmtId="0" fontId="5" fillId="0" borderId="21" xfId="0" applyFont="1" applyBorder="1" applyAlignment="1" quotePrefix="1">
      <alignment horizontal="center" wrapText="1"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59" fillId="0" borderId="0" xfId="0" applyFont="1" applyAlignment="1" quotePrefix="1">
      <alignment horizontal="left"/>
    </xf>
    <xf numFmtId="0" fontId="40" fillId="6" borderId="26" xfId="85" applyFont="1" applyFill="1" applyBorder="1" applyAlignment="1">
      <alignment horizontal="center" vertical="center" wrapText="1"/>
      <protection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3" fontId="40" fillId="55" borderId="24" xfId="80" applyNumberFormat="1" applyFont="1" applyFill="1" applyBorder="1" applyAlignment="1">
      <alignment horizontal="right" vertical="center" wrapText="1"/>
      <protection/>
    </xf>
    <xf numFmtId="175" fontId="40" fillId="55" borderId="24" xfId="91" applyNumberFormat="1" applyFont="1" applyFill="1" applyBorder="1" applyAlignment="1">
      <alignment horizontal="right" vertical="center" wrapText="1"/>
    </xf>
    <xf numFmtId="175" fontId="42" fillId="55" borderId="24" xfId="91" applyNumberFormat="1" applyFont="1" applyFill="1" applyBorder="1" applyAlignment="1">
      <alignment horizontal="right" vertical="center" wrapText="1"/>
    </xf>
    <xf numFmtId="0" fontId="12" fillId="0" borderId="25" xfId="0" applyFont="1" applyBorder="1" applyAlignment="1">
      <alignment/>
    </xf>
    <xf numFmtId="3" fontId="42" fillId="55" borderId="24" xfId="80" applyNumberFormat="1" applyFont="1" applyFill="1" applyBorder="1" applyAlignment="1">
      <alignment horizontal="left" vertical="center" wrapText="1" indent="1"/>
      <protection/>
    </xf>
    <xf numFmtId="0" fontId="59" fillId="0" borderId="0" xfId="0" applyFont="1" applyBorder="1" applyAlignment="1">
      <alignment horizontal="left"/>
    </xf>
    <xf numFmtId="3" fontId="60" fillId="55" borderId="24" xfId="80" applyNumberFormat="1" applyFont="1" applyFill="1" applyBorder="1" applyAlignment="1">
      <alignment horizontal="left" vertical="center" wrapText="1" indent="1"/>
      <protection/>
    </xf>
    <xf numFmtId="3" fontId="60" fillId="55" borderId="24" xfId="80" applyNumberFormat="1" applyFont="1" applyFill="1" applyBorder="1" applyAlignment="1">
      <alignment horizontal="right" vertical="center" wrapText="1"/>
      <protection/>
    </xf>
    <xf numFmtId="3" fontId="60" fillId="55" borderId="24" xfId="80" applyNumberFormat="1" applyFont="1" applyFill="1" applyBorder="1" applyAlignment="1">
      <alignment horizontal="right" vertical="center" wrapText="1"/>
      <protection/>
    </xf>
    <xf numFmtId="175" fontId="60" fillId="55" borderId="24" xfId="91" applyNumberFormat="1" applyFont="1" applyFill="1" applyBorder="1" applyAlignment="1">
      <alignment horizontal="right" vertical="center" wrapText="1"/>
    </xf>
    <xf numFmtId="0" fontId="12" fillId="0" borderId="24" xfId="0" applyFont="1" applyBorder="1" applyAlignment="1" quotePrefix="1">
      <alignment horizontal="center"/>
    </xf>
    <xf numFmtId="175" fontId="40" fillId="55" borderId="24" xfId="91" applyNumberFormat="1" applyFont="1" applyFill="1" applyBorder="1" applyAlignment="1">
      <alignment horizontal="right" vertical="center" wrapText="1"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175" fontId="13" fillId="55" borderId="24" xfId="91" applyNumberFormat="1" applyFont="1" applyFill="1" applyBorder="1" applyAlignment="1">
      <alignment horizontal="right" vertical="center" wrapText="1"/>
    </xf>
    <xf numFmtId="0" fontId="3" fillId="0" borderId="0" xfId="0" applyFont="1" applyFill="1" applyAlignment="1" quotePrefix="1">
      <alignment horizontal="center"/>
    </xf>
    <xf numFmtId="174" fontId="6" fillId="0" borderId="33" xfId="0" applyNumberFormat="1" applyFont="1" applyBorder="1" applyAlignment="1" quotePrefix="1">
      <alignment horizontal="center"/>
    </xf>
    <xf numFmtId="174" fontId="5" fillId="0" borderId="19" xfId="0" applyNumberFormat="1" applyFont="1" applyBorder="1" applyAlignment="1" quotePrefix="1">
      <alignment horizontal="center"/>
    </xf>
    <xf numFmtId="174" fontId="6" fillId="0" borderId="19" xfId="0" applyNumberFormat="1" applyFont="1" applyBorder="1" applyAlignment="1" quotePrefix="1">
      <alignment horizontal="center"/>
    </xf>
    <xf numFmtId="174" fontId="5" fillId="0" borderId="21" xfId="0" applyNumberFormat="1" applyFont="1" applyBorder="1" applyAlignment="1" quotePrefix="1">
      <alignment horizontal="center"/>
    </xf>
    <xf numFmtId="174" fontId="6" fillId="0" borderId="81" xfId="0" applyNumberFormat="1" applyFont="1" applyBorder="1" applyAlignment="1" quotePrefix="1">
      <alignment horizontal="center"/>
    </xf>
    <xf numFmtId="174" fontId="6" fillId="0" borderId="82" xfId="0" applyNumberFormat="1" applyFont="1" applyBorder="1" applyAlignment="1" quotePrefix="1">
      <alignment horizontal="center"/>
    </xf>
    <xf numFmtId="0" fontId="3" fillId="0" borderId="83" xfId="0" applyFont="1" applyFill="1" applyBorder="1" applyAlignment="1" quotePrefix="1">
      <alignment horizontal="center" vertical="top" wrapText="1"/>
    </xf>
    <xf numFmtId="0" fontId="3" fillId="0" borderId="84" xfId="0" applyFont="1" applyFill="1" applyBorder="1" applyAlignment="1" quotePrefix="1">
      <alignment horizontal="center" vertical="top" wrapText="1"/>
    </xf>
    <xf numFmtId="0" fontId="4" fillId="0" borderId="85" xfId="0" applyFont="1" applyFill="1" applyBorder="1" applyAlignment="1" quotePrefix="1">
      <alignment horizontal="left" wrapText="1"/>
    </xf>
    <xf numFmtId="0" fontId="4" fillId="0" borderId="86" xfId="0" applyFont="1" applyFill="1" applyBorder="1" applyAlignment="1" quotePrefix="1">
      <alignment horizontal="left" wrapText="1"/>
    </xf>
    <xf numFmtId="0" fontId="4" fillId="0" borderId="30" xfId="0" applyFont="1" applyFill="1" applyBorder="1" applyAlignment="1" quotePrefix="1">
      <alignment horizontal="left" wrapText="1"/>
    </xf>
    <xf numFmtId="0" fontId="4" fillId="0" borderId="42" xfId="0" applyFont="1" applyFill="1" applyBorder="1" applyAlignment="1" quotePrefix="1">
      <alignment horizontal="left" wrapText="1"/>
    </xf>
    <xf numFmtId="0" fontId="4" fillId="0" borderId="30" xfId="0" applyFont="1" applyFill="1" applyBorder="1" applyAlignment="1">
      <alignment horizontal="left" wrapText="1"/>
    </xf>
    <xf numFmtId="0" fontId="5" fillId="0" borderId="30" xfId="0" applyFont="1" applyBorder="1" applyAlignment="1" quotePrefix="1">
      <alignment horizontal="center" wrapText="1"/>
    </xf>
    <xf numFmtId="0" fontId="5" fillId="0" borderId="42" xfId="0" applyFont="1" applyBorder="1" applyAlignment="1" quotePrefix="1">
      <alignment horizontal="center" wrapText="1"/>
    </xf>
    <xf numFmtId="0" fontId="5" fillId="0" borderId="30" xfId="0" applyFont="1" applyBorder="1" applyAlignment="1" quotePrefix="1">
      <alignment horizontal="left" wrapText="1"/>
    </xf>
    <xf numFmtId="0" fontId="5" fillId="0" borderId="42" xfId="0" applyFont="1" applyBorder="1" applyAlignment="1" quotePrefix="1">
      <alignment horizontal="left" wrapText="1"/>
    </xf>
    <xf numFmtId="0" fontId="5" fillId="0" borderId="85" xfId="0" applyFont="1" applyBorder="1" applyAlignment="1" quotePrefix="1">
      <alignment horizontal="left" wrapText="1"/>
    </xf>
    <xf numFmtId="0" fontId="5" fillId="0" borderId="86" xfId="0" applyFont="1" applyBorder="1" applyAlignment="1" quotePrefix="1">
      <alignment horizontal="left" wrapText="1"/>
    </xf>
    <xf numFmtId="174" fontId="6" fillId="0" borderId="87" xfId="0" applyNumberFormat="1" applyFont="1" applyBorder="1" applyAlignment="1" quotePrefix="1">
      <alignment horizontal="center"/>
    </xf>
    <xf numFmtId="174" fontId="6" fillId="0" borderId="54" xfId="0" applyNumberFormat="1" applyFont="1" applyBorder="1" applyAlignment="1" quotePrefix="1">
      <alignment horizontal="center"/>
    </xf>
    <xf numFmtId="174" fontId="5" fillId="0" borderId="30" xfId="0" applyNumberFormat="1" applyFont="1" applyBorder="1" applyAlignment="1" quotePrefix="1">
      <alignment horizontal="center"/>
    </xf>
    <xf numFmtId="174" fontId="5" fillId="0" borderId="42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5" fillId="0" borderId="85" xfId="0" applyFont="1" applyBorder="1" applyAlignment="1" quotePrefix="1">
      <alignment horizontal="center" wrapText="1"/>
    </xf>
    <xf numFmtId="0" fontId="5" fillId="0" borderId="86" xfId="0" applyFont="1" applyBorder="1" applyAlignment="1" quotePrefix="1">
      <alignment horizontal="center" wrapText="1"/>
    </xf>
    <xf numFmtId="0" fontId="5" fillId="0" borderId="30" xfId="0" applyFont="1" applyBorder="1" applyAlignment="1">
      <alignment horizontal="left" wrapText="1"/>
    </xf>
    <xf numFmtId="0" fontId="5" fillId="0" borderId="42" xfId="0" applyFont="1" applyBorder="1" applyAlignment="1">
      <alignment horizontal="left" wrapText="1"/>
    </xf>
    <xf numFmtId="174" fontId="6" fillId="0" borderId="88" xfId="0" applyNumberFormat="1" applyFont="1" applyBorder="1" applyAlignment="1" quotePrefix="1">
      <alignment horizontal="center"/>
    </xf>
    <xf numFmtId="174" fontId="6" fillId="0" borderId="78" xfId="0" applyNumberFormat="1" applyFont="1" applyBorder="1" applyAlignment="1" quotePrefix="1">
      <alignment horizontal="center"/>
    </xf>
    <xf numFmtId="0" fontId="5" fillId="0" borderId="19" xfId="0" applyFont="1" applyBorder="1" applyAlignment="1" quotePrefix="1">
      <alignment horizontal="left" wrapText="1"/>
    </xf>
    <xf numFmtId="0" fontId="3" fillId="0" borderId="20" xfId="0" applyFont="1" applyFill="1" applyBorder="1" applyAlignment="1" quotePrefix="1">
      <alignment horizontal="center" vertical="top" wrapText="1"/>
    </xf>
    <xf numFmtId="0" fontId="5" fillId="0" borderId="33" xfId="0" applyFont="1" applyBorder="1" applyAlignment="1" quotePrefix="1">
      <alignment horizontal="left" wrapText="1"/>
    </xf>
    <xf numFmtId="174" fontId="6" fillId="0" borderId="89" xfId="0" applyNumberFormat="1" applyFont="1" applyBorder="1" applyAlignment="1" quotePrefix="1">
      <alignment horizontal="center"/>
    </xf>
    <xf numFmtId="174" fontId="6" fillId="0" borderId="73" xfId="0" applyNumberFormat="1" applyFont="1" applyBorder="1" applyAlignment="1" quotePrefix="1">
      <alignment horizontal="center"/>
    </xf>
    <xf numFmtId="0" fontId="40" fillId="6" borderId="25" xfId="83" applyFont="1" applyFill="1" applyBorder="1" applyAlignment="1">
      <alignment horizontal="center" vertical="center" wrapText="1"/>
      <protection/>
    </xf>
    <xf numFmtId="0" fontId="40" fillId="6" borderId="90" xfId="83" applyFont="1" applyFill="1" applyBorder="1" applyAlignment="1">
      <alignment horizontal="center" vertical="center" wrapText="1"/>
      <protection/>
    </xf>
    <xf numFmtId="0" fontId="40" fillId="6" borderId="91" xfId="83" applyFont="1" applyFill="1" applyBorder="1" applyAlignment="1">
      <alignment horizontal="center" vertical="center" wrapText="1"/>
      <protection/>
    </xf>
    <xf numFmtId="0" fontId="40" fillId="6" borderId="25" xfId="0" applyFont="1" applyFill="1" applyBorder="1" applyAlignment="1">
      <alignment horizontal="center" vertical="center" wrapText="1"/>
    </xf>
    <xf numFmtId="0" fontId="40" fillId="6" borderId="90" xfId="0" applyFont="1" applyFill="1" applyBorder="1" applyAlignment="1">
      <alignment horizontal="center" vertical="center" wrapText="1"/>
    </xf>
    <xf numFmtId="0" fontId="40" fillId="6" borderId="91" xfId="0" applyFont="1" applyFill="1" applyBorder="1" applyAlignment="1">
      <alignment horizontal="center" vertical="center" wrapText="1"/>
    </xf>
    <xf numFmtId="0" fontId="40" fillId="6" borderId="23" xfId="88" applyFont="1" applyFill="1" applyBorder="1" applyAlignment="1">
      <alignment horizontal="left" vertical="center" wrapText="1"/>
      <protection/>
    </xf>
    <xf numFmtId="0" fontId="40" fillId="6" borderId="26" xfId="88" applyFont="1" applyFill="1" applyBorder="1" applyAlignment="1">
      <alignment horizontal="left" vertical="center" wrapText="1"/>
      <protection/>
    </xf>
    <xf numFmtId="0" fontId="40" fillId="6" borderId="92" xfId="0" applyFont="1" applyFill="1" applyBorder="1" applyAlignment="1">
      <alignment horizontal="center" vertical="center" wrapText="1"/>
    </xf>
    <xf numFmtId="0" fontId="40" fillId="6" borderId="93" xfId="0" applyFont="1" applyFill="1" applyBorder="1" applyAlignment="1">
      <alignment horizontal="center" vertical="center" wrapText="1"/>
    </xf>
    <xf numFmtId="0" fontId="40" fillId="6" borderId="94" xfId="83" applyFont="1" applyFill="1" applyBorder="1" applyAlignment="1">
      <alignment horizontal="left" vertical="center" wrapText="1"/>
      <protection/>
    </xf>
    <xf numFmtId="0" fontId="40" fillId="6" borderId="26" xfId="83" applyFont="1" applyFill="1" applyBorder="1" applyAlignment="1">
      <alignment horizontal="left" vertical="center" wrapText="1"/>
      <protection/>
    </xf>
    <xf numFmtId="0" fontId="40" fillId="6" borderId="23" xfId="88" applyFont="1" applyFill="1" applyBorder="1" applyAlignment="1">
      <alignment horizontal="center" vertical="center" wrapText="1"/>
      <protection/>
    </xf>
    <xf numFmtId="0" fontId="40" fillId="6" borderId="94" xfId="88" applyFont="1" applyFill="1" applyBorder="1" applyAlignment="1">
      <alignment horizontal="center" vertical="center" wrapText="1"/>
      <protection/>
    </xf>
    <xf numFmtId="3" fontId="12" fillId="0" borderId="25" xfId="83" applyNumberFormat="1" applyFont="1" applyBorder="1" applyAlignment="1" quotePrefix="1">
      <alignment horizontal="center" vertical="center"/>
      <protection/>
    </xf>
    <xf numFmtId="3" fontId="12" fillId="0" borderId="91" xfId="83" applyNumberFormat="1" applyFont="1" applyBorder="1" applyAlignment="1" quotePrefix="1">
      <alignment horizontal="center" vertical="center"/>
      <protection/>
    </xf>
    <xf numFmtId="0" fontId="40" fillId="6" borderId="23" xfId="83" applyFont="1" applyFill="1" applyBorder="1" applyAlignment="1">
      <alignment horizontal="center" vertical="center" wrapText="1"/>
      <protection/>
    </xf>
    <xf numFmtId="0" fontId="40" fillId="6" borderId="26" xfId="83" applyFont="1" applyFill="1" applyBorder="1" applyAlignment="1">
      <alignment horizontal="center" vertical="center" wrapText="1"/>
      <protection/>
    </xf>
    <xf numFmtId="0" fontId="34" fillId="0" borderId="95" xfId="88" applyFont="1" applyBorder="1" applyAlignment="1">
      <alignment horizontal="left" vertical="center" wrapText="1"/>
      <protection/>
    </xf>
    <xf numFmtId="0" fontId="0" fillId="0" borderId="26" xfId="88" applyBorder="1">
      <alignment/>
      <protection/>
    </xf>
    <xf numFmtId="0" fontId="0" fillId="0" borderId="26" xfId="88" applyBorder="1" applyAlignment="1">
      <alignment horizontal="center"/>
      <protection/>
    </xf>
    <xf numFmtId="0" fontId="40" fillId="6" borderId="23" xfId="80" applyFont="1" applyFill="1" applyBorder="1" applyAlignment="1">
      <alignment horizontal="left" vertical="center" wrapText="1"/>
      <protection/>
    </xf>
    <xf numFmtId="0" fontId="40" fillId="6" borderId="26" xfId="80" applyFont="1" applyFill="1" applyBorder="1" applyAlignment="1">
      <alignment horizontal="left" vertical="center" wrapText="1"/>
      <protection/>
    </xf>
    <xf numFmtId="0" fontId="40" fillId="6" borderId="23" xfId="80" applyFont="1" applyFill="1" applyBorder="1" applyAlignment="1">
      <alignment horizontal="center" vertical="center" wrapText="1"/>
      <protection/>
    </xf>
    <xf numFmtId="0" fontId="40" fillId="6" borderId="26" xfId="80" applyFont="1" applyFill="1" applyBorder="1" applyAlignment="1">
      <alignment horizontal="center" vertical="center" wrapText="1"/>
      <protection/>
    </xf>
    <xf numFmtId="0" fontId="40" fillId="6" borderId="23" xfId="80" applyFont="1" applyFill="1" applyBorder="1" applyAlignment="1">
      <alignment horizontal="center" vertical="center" wrapText="1"/>
      <protection/>
    </xf>
    <xf numFmtId="0" fontId="40" fillId="6" borderId="26" xfId="80" applyFont="1" applyFill="1" applyBorder="1" applyAlignment="1">
      <alignment horizontal="center" vertical="center" wrapText="1"/>
      <protection/>
    </xf>
    <xf numFmtId="0" fontId="40" fillId="6" borderId="26" xfId="88" applyFont="1" applyFill="1" applyBorder="1" applyAlignment="1">
      <alignment horizontal="center" vertical="center" wrapText="1"/>
      <protection/>
    </xf>
    <xf numFmtId="0" fontId="34" fillId="0" borderId="95" xfId="80" applyFont="1" applyBorder="1" applyAlignment="1">
      <alignment horizontal="left" vertical="center" wrapText="1"/>
      <protection/>
    </xf>
    <xf numFmtId="0" fontId="34" fillId="0" borderId="95" xfId="80" applyFont="1" applyBorder="1" applyAlignment="1">
      <alignment vertical="center" wrapText="1"/>
      <protection/>
    </xf>
    <xf numFmtId="0" fontId="46" fillId="6" borderId="25" xfId="88" applyFont="1" applyFill="1" applyBorder="1" applyAlignment="1" quotePrefix="1">
      <alignment horizontal="center" vertical="center" wrapText="1"/>
      <protection/>
    </xf>
    <xf numFmtId="0" fontId="46" fillId="6" borderId="90" xfId="88" applyFont="1" applyFill="1" applyBorder="1" applyAlignment="1" quotePrefix="1">
      <alignment horizontal="center" vertical="center" wrapText="1"/>
      <protection/>
    </xf>
    <xf numFmtId="0" fontId="46" fillId="6" borderId="91" xfId="88" applyFont="1" applyFill="1" applyBorder="1" applyAlignment="1" quotePrefix="1">
      <alignment horizontal="center" vertical="center" wrapText="1"/>
      <protection/>
    </xf>
    <xf numFmtId="0" fontId="40" fillId="6" borderId="23" xfId="88" applyFont="1" applyFill="1" applyBorder="1" applyAlignment="1">
      <alignment horizontal="right" vertical="center" wrapText="1"/>
      <protection/>
    </xf>
    <xf numFmtId="0" fontId="40" fillId="6" borderId="26" xfId="88" applyFont="1" applyFill="1" applyBorder="1" applyAlignment="1">
      <alignment horizontal="right" vertical="center" wrapText="1"/>
      <protection/>
    </xf>
    <xf numFmtId="0" fontId="40" fillId="6" borderId="25" xfId="88" applyFont="1" applyFill="1" applyBorder="1" applyAlignment="1" quotePrefix="1">
      <alignment horizontal="center" vertical="center" wrapText="1"/>
      <protection/>
    </xf>
    <xf numFmtId="0" fontId="40" fillId="6" borderId="90" xfId="88" applyFont="1" applyFill="1" applyBorder="1" applyAlignment="1" quotePrefix="1">
      <alignment horizontal="center" vertical="center" wrapText="1"/>
      <protection/>
    </xf>
    <xf numFmtId="0" fontId="40" fillId="6" borderId="91" xfId="88" applyFont="1" applyFill="1" applyBorder="1" applyAlignment="1" quotePrefix="1">
      <alignment horizontal="center" vertical="center" wrapText="1"/>
      <protection/>
    </xf>
    <xf numFmtId="0" fontId="34" fillId="0" borderId="95" xfId="88" applyFont="1" applyBorder="1" applyAlignment="1" quotePrefix="1">
      <alignment horizontal="left" vertical="center" wrapText="1"/>
      <protection/>
    </xf>
    <xf numFmtId="3" fontId="42" fillId="55" borderId="25" xfId="88" applyNumberFormat="1" applyFont="1" applyFill="1" applyBorder="1" applyAlignment="1">
      <alignment horizontal="center" vertical="center" wrapText="1"/>
      <protection/>
    </xf>
    <xf numFmtId="3" fontId="42" fillId="55" borderId="91" xfId="88" applyNumberFormat="1" applyFont="1" applyFill="1" applyBorder="1" applyAlignment="1">
      <alignment horizontal="center" vertical="center" wrapText="1"/>
      <protection/>
    </xf>
    <xf numFmtId="0" fontId="40" fillId="6" borderId="25" xfId="88" applyFont="1" applyFill="1" applyBorder="1" applyAlignment="1">
      <alignment horizontal="center" vertical="center" wrapText="1"/>
      <protection/>
    </xf>
    <xf numFmtId="0" fontId="40" fillId="6" borderId="90" xfId="88" applyFont="1" applyFill="1" applyBorder="1" applyAlignment="1">
      <alignment horizontal="center" vertical="center" wrapText="1"/>
      <protection/>
    </xf>
    <xf numFmtId="0" fontId="40" fillId="6" borderId="91" xfId="88" applyFont="1" applyFill="1" applyBorder="1" applyAlignment="1">
      <alignment horizontal="center" vertical="center" wrapText="1"/>
      <protection/>
    </xf>
    <xf numFmtId="0" fontId="42" fillId="55" borderId="25" xfId="88" applyNumberFormat="1" applyFont="1" applyFill="1" applyBorder="1" applyAlignment="1">
      <alignment horizontal="center" vertical="center" wrapText="1"/>
      <protection/>
    </xf>
    <xf numFmtId="0" fontId="42" fillId="55" borderId="91" xfId="88" applyNumberFormat="1" applyFont="1" applyFill="1" applyBorder="1" applyAlignment="1">
      <alignment horizontal="center" vertical="center" wrapText="1"/>
      <protection/>
    </xf>
    <xf numFmtId="0" fontId="46" fillId="6" borderId="25" xfId="88" applyFont="1" applyFill="1" applyBorder="1" applyAlignment="1">
      <alignment horizontal="center" vertical="center" wrapText="1"/>
      <protection/>
    </xf>
    <xf numFmtId="0" fontId="46" fillId="6" borderId="90" xfId="88" applyFont="1" applyFill="1" applyBorder="1" applyAlignment="1">
      <alignment horizontal="center" vertical="center" wrapText="1"/>
      <protection/>
    </xf>
    <xf numFmtId="0" fontId="46" fillId="6" borderId="91" xfId="88" applyFont="1" applyFill="1" applyBorder="1" applyAlignment="1">
      <alignment horizontal="center" vertical="center" wrapText="1"/>
      <protection/>
    </xf>
    <xf numFmtId="0" fontId="40" fillId="6" borderId="25" xfId="84" applyFont="1" applyFill="1" applyBorder="1" applyAlignment="1">
      <alignment horizontal="center" vertical="center" wrapText="1"/>
      <protection/>
    </xf>
    <xf numFmtId="0" fontId="40" fillId="6" borderId="90" xfId="84" applyFont="1" applyFill="1" applyBorder="1" applyAlignment="1">
      <alignment horizontal="center" vertical="center" wrapText="1"/>
      <protection/>
    </xf>
    <xf numFmtId="0" fontId="0" fillId="0" borderId="90" xfId="84" applyBorder="1" applyAlignment="1">
      <alignment horizontal="center" vertical="center" wrapText="1"/>
      <protection/>
    </xf>
    <xf numFmtId="0" fontId="0" fillId="0" borderId="91" xfId="84" applyBorder="1" applyAlignment="1">
      <alignment horizontal="center" vertical="center" wrapText="1"/>
      <protection/>
    </xf>
    <xf numFmtId="3" fontId="12" fillId="0" borderId="25" xfId="82" applyNumberFormat="1" applyFont="1" applyFill="1" applyBorder="1" applyAlignment="1" quotePrefix="1">
      <alignment horizontal="center" vertical="center"/>
      <protection/>
    </xf>
    <xf numFmtId="3" fontId="12" fillId="0" borderId="91" xfId="82" applyNumberFormat="1" applyFont="1" applyFill="1" applyBorder="1" applyAlignment="1" quotePrefix="1">
      <alignment horizontal="center" vertical="center"/>
      <protection/>
    </xf>
    <xf numFmtId="3" fontId="12" fillId="0" borderId="25" xfId="0" applyNumberFormat="1" applyFont="1" applyFill="1" applyBorder="1" applyAlignment="1" quotePrefix="1">
      <alignment horizontal="center" vertical="center"/>
    </xf>
    <xf numFmtId="3" fontId="12" fillId="0" borderId="91" xfId="0" applyNumberFormat="1" applyFont="1" applyFill="1" applyBorder="1" applyAlignment="1" quotePrefix="1">
      <alignment horizontal="center" vertical="center"/>
    </xf>
    <xf numFmtId="0" fontId="40" fillId="6" borderId="23" xfId="80" applyFont="1" applyFill="1" applyBorder="1" applyAlignment="1">
      <alignment horizontal="left" vertical="center" wrapText="1"/>
      <protection/>
    </xf>
    <xf numFmtId="0" fontId="40" fillId="6" borderId="26" xfId="80" applyFont="1" applyFill="1" applyBorder="1" applyAlignment="1">
      <alignment horizontal="left" vertical="center" wrapText="1"/>
      <protection/>
    </xf>
    <xf numFmtId="0" fontId="13" fillId="56" borderId="96" xfId="79" applyFont="1" applyFill="1" applyBorder="1" applyAlignment="1">
      <alignment horizontal="center" vertical="center" wrapText="1"/>
      <protection/>
    </xf>
    <xf numFmtId="0" fontId="13" fillId="56" borderId="97" xfId="79" applyFont="1" applyFill="1" applyBorder="1" applyAlignment="1">
      <alignment horizontal="center" vertical="center" wrapText="1"/>
      <protection/>
    </xf>
    <xf numFmtId="0" fontId="13" fillId="56" borderId="27" xfId="79" applyFont="1" applyFill="1" applyBorder="1" applyAlignment="1">
      <alignment horizontal="left" vertical="center" wrapText="1"/>
      <protection/>
    </xf>
    <xf numFmtId="0" fontId="44" fillId="0" borderId="27" xfId="79" applyFont="1" applyBorder="1" applyAlignment="1">
      <alignment/>
      <protection/>
    </xf>
    <xf numFmtId="173" fontId="12" fillId="0" borderId="98" xfId="79" applyNumberFormat="1" applyFont="1" applyBorder="1" applyAlignment="1">
      <alignment horizontal="right" vertical="center"/>
      <protection/>
    </xf>
    <xf numFmtId="173" fontId="12" fillId="0" borderId="99" xfId="79" applyNumberFormat="1" applyFont="1" applyBorder="1" applyAlignment="1">
      <alignment horizontal="right" vertical="center"/>
      <protection/>
    </xf>
    <xf numFmtId="173" fontId="12" fillId="0" borderId="93" xfId="79" applyNumberFormat="1" applyFont="1" applyBorder="1" applyAlignment="1">
      <alignment horizontal="right" vertical="center"/>
      <protection/>
    </xf>
    <xf numFmtId="175" fontId="12" fillId="0" borderId="98" xfId="91" applyNumberFormat="1" applyFont="1" applyBorder="1" applyAlignment="1">
      <alignment horizontal="center" vertical="center"/>
    </xf>
    <xf numFmtId="175" fontId="12" fillId="0" borderId="99" xfId="91" applyNumberFormat="1" applyFont="1" applyBorder="1" applyAlignment="1">
      <alignment horizontal="center" vertical="center"/>
    </xf>
    <xf numFmtId="175" fontId="12" fillId="0" borderId="93" xfId="91" applyNumberFormat="1" applyFont="1" applyBorder="1" applyAlignment="1">
      <alignment horizontal="center" vertical="center"/>
    </xf>
    <xf numFmtId="0" fontId="13" fillId="6" borderId="25" xfId="80" applyFont="1" applyFill="1" applyBorder="1" applyAlignment="1" quotePrefix="1">
      <alignment horizontal="center" vertical="center"/>
      <protection/>
    </xf>
    <xf numFmtId="0" fontId="13" fillId="6" borderId="91" xfId="80" applyFont="1" applyFill="1" applyBorder="1" applyAlignment="1">
      <alignment horizontal="center" vertical="center"/>
      <protection/>
    </xf>
    <xf numFmtId="0" fontId="13" fillId="6" borderId="23" xfId="80" applyFont="1" applyFill="1" applyBorder="1" applyAlignment="1">
      <alignment horizontal="center" vertical="center" wrapText="1"/>
      <protection/>
    </xf>
    <xf numFmtId="0" fontId="13" fillId="6" borderId="26" xfId="80" applyFont="1" applyFill="1" applyBorder="1" applyAlignment="1">
      <alignment horizontal="center" vertical="center" wrapText="1"/>
      <protection/>
    </xf>
    <xf numFmtId="0" fontId="13" fillId="6" borderId="23" xfId="80" applyFont="1" applyFill="1" applyBorder="1" applyAlignment="1">
      <alignment horizontal="left" vertical="center" wrapText="1"/>
      <protection/>
    </xf>
    <xf numFmtId="0" fontId="13" fillId="6" borderId="26" xfId="80" applyFont="1" applyFill="1" applyBorder="1" applyAlignment="1">
      <alignment horizontal="left" vertical="center" wrapText="1"/>
      <protection/>
    </xf>
    <xf numFmtId="0" fontId="40" fillId="6" borderId="23" xfId="80" applyFont="1" applyFill="1" applyBorder="1" applyAlignment="1" quotePrefix="1">
      <alignment horizontal="center" vertical="center" wrapText="1"/>
      <protection/>
    </xf>
    <xf numFmtId="0" fontId="40" fillId="6" borderId="25" xfId="80" applyFont="1" applyFill="1" applyBorder="1" applyAlignment="1" quotePrefix="1">
      <alignment horizontal="center" vertical="center"/>
      <protection/>
    </xf>
    <xf numFmtId="0" fontId="40" fillId="6" borderId="91" xfId="80" applyFont="1" applyFill="1" applyBorder="1" applyAlignment="1">
      <alignment horizontal="center" vertical="center"/>
      <protection/>
    </xf>
    <xf numFmtId="0" fontId="12" fillId="0" borderId="23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3" fillId="56" borderId="96" xfId="79" applyFont="1" applyFill="1" applyBorder="1" applyAlignment="1">
      <alignment horizontal="center" vertical="center" wrapText="1"/>
      <protection/>
    </xf>
    <xf numFmtId="0" fontId="13" fillId="56" borderId="97" xfId="79" applyFont="1" applyFill="1" applyBorder="1" applyAlignment="1">
      <alignment horizontal="center" vertical="center" wrapText="1"/>
      <protection/>
    </xf>
    <xf numFmtId="0" fontId="13" fillId="56" borderId="27" xfId="79" applyFont="1" applyFill="1" applyBorder="1" applyAlignment="1" quotePrefix="1">
      <alignment horizontal="left" vertical="center" wrapText="1"/>
      <protection/>
    </xf>
    <xf numFmtId="0" fontId="5" fillId="0" borderId="27" xfId="79" applyBorder="1" applyAlignment="1">
      <alignment/>
      <protection/>
    </xf>
    <xf numFmtId="0" fontId="13" fillId="56" borderId="96" xfId="79" applyFont="1" applyFill="1" applyBorder="1" applyAlignment="1">
      <alignment horizontal="center" vertical="center"/>
      <protection/>
    </xf>
    <xf numFmtId="0" fontId="13" fillId="56" borderId="97" xfId="79" applyFont="1" applyFill="1" applyBorder="1" applyAlignment="1">
      <alignment horizontal="center" vertical="center"/>
      <protection/>
    </xf>
    <xf numFmtId="0" fontId="13" fillId="56" borderId="96" xfId="79" applyFont="1" applyFill="1" applyBorder="1" applyAlignment="1" quotePrefix="1">
      <alignment horizontal="center" vertical="center" wrapText="1"/>
      <protection/>
    </xf>
    <xf numFmtId="0" fontId="38" fillId="0" borderId="55" xfId="87" applyFont="1" applyBorder="1" applyAlignment="1">
      <alignment horizontal="center" vertical="center" wrapText="1"/>
      <protection/>
    </xf>
    <xf numFmtId="0" fontId="38" fillId="0" borderId="19" xfId="87" applyFont="1" applyBorder="1" applyAlignment="1">
      <alignment horizontal="center" vertical="center" wrapText="1"/>
      <protection/>
    </xf>
    <xf numFmtId="0" fontId="38" fillId="0" borderId="19" xfId="87" applyFont="1" applyBorder="1" applyAlignment="1">
      <alignment horizontal="center"/>
      <protection/>
    </xf>
    <xf numFmtId="0" fontId="38" fillId="0" borderId="30" xfId="87" applyFont="1" applyBorder="1" applyAlignment="1">
      <alignment horizontal="center"/>
      <protection/>
    </xf>
    <xf numFmtId="0" fontId="38" fillId="0" borderId="42" xfId="87" applyFont="1" applyBorder="1" applyAlignment="1">
      <alignment horizontal="center"/>
      <protection/>
    </xf>
    <xf numFmtId="0" fontId="38" fillId="0" borderId="53" xfId="87" applyFont="1" applyBorder="1" applyAlignment="1">
      <alignment horizontal="center" vertical="center" wrapText="1"/>
      <protection/>
    </xf>
    <xf numFmtId="0" fontId="38" fillId="0" borderId="31" xfId="87" applyFont="1" applyBorder="1" applyAlignment="1">
      <alignment horizontal="center" vertical="center" wrapText="1"/>
      <protection/>
    </xf>
    <xf numFmtId="0" fontId="38" fillId="0" borderId="52" xfId="87" applyFont="1" applyBorder="1" applyAlignment="1">
      <alignment horizontal="center" vertical="center"/>
      <protection/>
    </xf>
    <xf numFmtId="0" fontId="38" fillId="0" borderId="55" xfId="87" applyFont="1" applyBorder="1" applyAlignment="1">
      <alignment horizontal="center" vertical="center"/>
      <protection/>
    </xf>
    <xf numFmtId="0" fontId="38" fillId="0" borderId="53" xfId="87" applyFont="1" applyBorder="1" applyAlignment="1">
      <alignment horizontal="center" vertical="center"/>
      <protection/>
    </xf>
    <xf numFmtId="0" fontId="38" fillId="0" borderId="29" xfId="87" applyFont="1" applyBorder="1" applyAlignment="1">
      <alignment horizontal="center" vertical="center" wrapText="1"/>
      <protection/>
    </xf>
    <xf numFmtId="0" fontId="38" fillId="0" borderId="100" xfId="87" applyFont="1" applyBorder="1" applyAlignment="1">
      <alignment horizontal="center" vertical="center" wrapText="1"/>
      <protection/>
    </xf>
    <xf numFmtId="0" fontId="38" fillId="0" borderId="101" xfId="87" applyFont="1" applyBorder="1" applyAlignment="1">
      <alignment horizontal="center" vertical="center"/>
      <protection/>
    </xf>
    <xf numFmtId="0" fontId="38" fillId="0" borderId="28" xfId="87" applyFont="1" applyBorder="1" applyAlignment="1">
      <alignment horizontal="center" vertical="center"/>
      <protection/>
    </xf>
    <xf numFmtId="49" fontId="38" fillId="0" borderId="51" xfId="87" applyNumberFormat="1" applyFont="1" applyBorder="1" applyAlignment="1">
      <alignment horizontal="center" vertical="center" textRotation="90"/>
      <protection/>
    </xf>
    <xf numFmtId="49" fontId="38" fillId="0" borderId="41" xfId="87" applyNumberFormat="1" applyFont="1" applyBorder="1" applyAlignment="1">
      <alignment horizontal="center" vertical="center" textRotation="90"/>
      <protection/>
    </xf>
    <xf numFmtId="0" fontId="38" fillId="0" borderId="102" xfId="87" applyFont="1" applyBorder="1" applyAlignment="1">
      <alignment horizontal="center" vertical="center" textRotation="90"/>
      <protection/>
    </xf>
    <xf numFmtId="0" fontId="38" fillId="0" borderId="45" xfId="87" applyFont="1" applyBorder="1" applyAlignment="1">
      <alignment horizontal="center" vertical="center" textRotation="90"/>
      <protection/>
    </xf>
    <xf numFmtId="0" fontId="38" fillId="0" borderId="54" xfId="87" applyFont="1" applyBorder="1" applyAlignment="1">
      <alignment horizontal="center" vertical="center" textRotation="90" wrapText="1"/>
      <protection/>
    </xf>
    <xf numFmtId="0" fontId="38" fillId="0" borderId="42" xfId="87" applyFont="1" applyBorder="1" applyAlignment="1">
      <alignment horizontal="center" vertical="center" textRotation="90" wrapText="1"/>
      <protection/>
    </xf>
    <xf numFmtId="1" fontId="38" fillId="0" borderId="87" xfId="87" applyNumberFormat="1" applyFont="1" applyBorder="1" applyAlignment="1">
      <alignment horizontal="center" vertical="center" textRotation="90" wrapText="1"/>
      <protection/>
    </xf>
    <xf numFmtId="1" fontId="38" fillId="0" borderId="30" xfId="87" applyNumberFormat="1" applyFont="1" applyBorder="1" applyAlignment="1">
      <alignment horizontal="center" vertical="center" textRotation="90" wrapText="1"/>
      <protection/>
    </xf>
    <xf numFmtId="0" fontId="38" fillId="0" borderId="52" xfId="87" applyFont="1" applyBorder="1" applyAlignment="1">
      <alignment horizontal="center" vertical="center" wrapText="1"/>
      <protection/>
    </xf>
    <xf numFmtId="0" fontId="5" fillId="0" borderId="100" xfId="81" applyFont="1" applyBorder="1" applyAlignment="1">
      <alignment horizontal="center" vertical="center" wrapText="1"/>
      <protection/>
    </xf>
    <xf numFmtId="0" fontId="5" fillId="0" borderId="101" xfId="81" applyFont="1" applyBorder="1" applyAlignment="1">
      <alignment horizontal="center" vertical="center" wrapText="1"/>
      <protection/>
    </xf>
    <xf numFmtId="0" fontId="5" fillId="0" borderId="103" xfId="81" applyFont="1" applyBorder="1" applyAlignment="1">
      <alignment horizontal="center" vertical="center" wrapText="1"/>
      <protection/>
    </xf>
    <xf numFmtId="49" fontId="38" fillId="0" borderId="100" xfId="81" applyNumberFormat="1" applyFont="1" applyBorder="1" applyAlignment="1">
      <alignment horizontal="center" vertical="center" wrapText="1"/>
      <protection/>
    </xf>
    <xf numFmtId="49" fontId="38" fillId="0" borderId="101" xfId="81" applyNumberFormat="1" applyFont="1" applyBorder="1" applyAlignment="1">
      <alignment horizontal="center" vertical="center" wrapText="1"/>
      <protection/>
    </xf>
    <xf numFmtId="49" fontId="38" fillId="0" borderId="103" xfId="81" applyNumberFormat="1" applyFont="1" applyBorder="1" applyAlignment="1">
      <alignment horizontal="center" vertical="center" wrapText="1"/>
      <protection/>
    </xf>
    <xf numFmtId="49" fontId="38" fillId="0" borderId="61" xfId="81" applyNumberFormat="1" applyFont="1" applyBorder="1" applyAlignment="1">
      <alignment horizontal="center" vertical="center" wrapText="1"/>
      <protection/>
    </xf>
    <xf numFmtId="0" fontId="5" fillId="0" borderId="100" xfId="81" applyFont="1" applyBorder="1" applyAlignment="1" quotePrefix="1">
      <alignment horizontal="center" vertical="center" wrapText="1"/>
      <protection/>
    </xf>
    <xf numFmtId="0" fontId="5" fillId="0" borderId="101" xfId="81" applyFont="1" applyBorder="1" applyAlignment="1" quotePrefix="1">
      <alignment horizontal="center" vertical="center" wrapText="1"/>
      <protection/>
    </xf>
    <xf numFmtId="49" fontId="38" fillId="0" borderId="70" xfId="81" applyNumberFormat="1" applyFont="1" applyBorder="1" applyAlignment="1">
      <alignment horizontal="center" vertical="center" wrapText="1"/>
      <protection/>
    </xf>
    <xf numFmtId="49" fontId="38" fillId="0" borderId="104" xfId="81" applyNumberFormat="1" applyFont="1" applyBorder="1" applyAlignment="1">
      <alignment horizontal="center" vertical="center" wrapText="1"/>
      <protection/>
    </xf>
    <xf numFmtId="3" fontId="50" fillId="0" borderId="70" xfId="87" applyNumberFormat="1" applyFont="1" applyBorder="1" applyAlignment="1">
      <alignment horizontal="center"/>
      <protection/>
    </xf>
    <xf numFmtId="3" fontId="50" fillId="0" borderId="105" xfId="87" applyNumberFormat="1" applyFont="1" applyBorder="1" applyAlignment="1">
      <alignment horizontal="center"/>
      <protection/>
    </xf>
    <xf numFmtId="3" fontId="50" fillId="0" borderId="104" xfId="87" applyNumberFormat="1" applyFont="1" applyBorder="1" applyAlignment="1">
      <alignment horizontal="center"/>
      <protection/>
    </xf>
    <xf numFmtId="3" fontId="50" fillId="0" borderId="106" xfId="87" applyNumberFormat="1" applyFont="1" applyBorder="1" applyAlignment="1">
      <alignment horizontal="center"/>
      <protection/>
    </xf>
    <xf numFmtId="3" fontId="50" fillId="0" borderId="61" xfId="87" applyNumberFormat="1" applyFont="1" applyBorder="1" applyAlignment="1">
      <alignment horizontal="center"/>
      <protection/>
    </xf>
    <xf numFmtId="3" fontId="50" fillId="0" borderId="107" xfId="87" applyNumberFormat="1" applyFont="1" applyBorder="1" applyAlignment="1">
      <alignment horizontal="center"/>
      <protection/>
    </xf>
    <xf numFmtId="0" fontId="50" fillId="0" borderId="70" xfId="81" applyFont="1" applyBorder="1" applyAlignment="1">
      <alignment horizontal="center" vertical="center" wrapText="1"/>
      <protection/>
    </xf>
    <xf numFmtId="0" fontId="50" fillId="0" borderId="104" xfId="81" applyFont="1" applyBorder="1" applyAlignment="1">
      <alignment horizontal="center" vertical="center" wrapText="1"/>
      <protection/>
    </xf>
    <xf numFmtId="0" fontId="50" fillId="0" borderId="61" xfId="81" applyFont="1" applyBorder="1" applyAlignment="1">
      <alignment horizontal="center" vertical="center" wrapText="1"/>
      <protection/>
    </xf>
    <xf numFmtId="0" fontId="5" fillId="0" borderId="70" xfId="81" applyFont="1" applyBorder="1" applyAlignment="1">
      <alignment horizontal="center" vertical="center" wrapText="1"/>
      <protection/>
    </xf>
    <xf numFmtId="0" fontId="5" fillId="0" borderId="104" xfId="81" applyFont="1" applyBorder="1" applyAlignment="1">
      <alignment horizontal="center" vertical="center" wrapText="1"/>
      <protection/>
    </xf>
    <xf numFmtId="0" fontId="5" fillId="0" borderId="61" xfId="8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u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2" xfId="76"/>
    <cellStyle name="Normal_Book1" xfId="77"/>
    <cellStyle name="Normal_Copy of Insured-WIPD-2007-spr-1------------" xfId="78"/>
    <cellStyle name="Normal_Ecology_2.1" xfId="79"/>
    <cellStyle name="Normal_IND_SBS_SecC" xfId="80"/>
    <cellStyle name="Normal_NKID-2003-4zn" xfId="81"/>
    <cellStyle name="Normal_SBS_Empl_SecB 2008-2012" xfId="82"/>
    <cellStyle name="Normal_SBS_Empl_SecB_08" xfId="83"/>
    <cellStyle name="Normal_SBS_Reg_SecB 2008-2012" xfId="84"/>
    <cellStyle name="Normal_Sheet1" xfId="85"/>
    <cellStyle name="Normal_Sheet1_SBS_Empl_SecB_08" xfId="86"/>
    <cellStyle name="Normal_Sravnitelna 2000-2001" xfId="87"/>
    <cellStyle name="Normal_Zadacha 3" xfId="88"/>
    <cellStyle name="Note" xfId="89"/>
    <cellStyle name="Output" xfId="90"/>
    <cellStyle name="Percent" xfId="91"/>
    <cellStyle name="Title" xfId="92"/>
    <cellStyle name="Total" xfId="93"/>
    <cellStyle name="Warning Text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Бележка" xfId="101"/>
    <cellStyle name="Вход" xfId="102"/>
    <cellStyle name="Добър" xfId="103"/>
    <cellStyle name="Заглавие" xfId="104"/>
    <cellStyle name="Заглавие 1" xfId="105"/>
    <cellStyle name="Заглавие 2" xfId="106"/>
    <cellStyle name="Заглавие 3" xfId="107"/>
    <cellStyle name="Заглавие 4" xfId="108"/>
    <cellStyle name="Изход" xfId="109"/>
    <cellStyle name="Изчисление" xfId="110"/>
    <cellStyle name="Контролна клетка" xfId="111"/>
    <cellStyle name="Лош" xfId="112"/>
    <cellStyle name="Неутрален" xfId="113"/>
    <cellStyle name="Обяснителен текст" xfId="114"/>
    <cellStyle name="Предупредителен текст" xfId="115"/>
    <cellStyle name="Свързана клетка" xfId="116"/>
    <cellStyle name="Сума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m-T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TEC%20M%20Iztok%202\Ideen%20proekt\Ikonomika%20MT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OLODI~1\LOCALS~1\Temp\Rar$DI44.875\Nikolov%20&#1058;&#1072;&#1073;&#1083;&#1080;&#1094;&#1072;%201%20&#1058;&#1047;&#1055;&#1041;%20&#1087;&#1091;&#1073;&#1083;&#1080;&#1095;&#1077;&#1085;%20&#1088;&#1077;&#1075;&#1080;&#1089;&#1090;&#1098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exandar\Local%20Settings\Temporary%20Internet%20Files\Content.IE5\TTBUPX57\Nikolov%20&#1058;&#1072;&#1073;&#1083;&#1080;&#1094;&#1072;%201%20&#1058;&#1047;&#1055;&#1041;%20&#1087;&#1091;&#1073;&#1083;&#1080;&#1095;&#1077;&#1085;%20&#1088;&#1077;&#1075;&#1080;&#1089;&#1090;&#1098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-T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а таблица"/>
      <sheetName val="Фигура 1"/>
      <sheetName val="Фигура 2"/>
      <sheetName val="Разходи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-PR (2)"/>
      <sheetName val="2008-PR"/>
      <sheetName val="2007-PR"/>
      <sheetName val="2006-P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8-PR (2)"/>
      <sheetName val="2008-PR"/>
      <sheetName val="2007-PR"/>
      <sheetName val="2006-PR"/>
    </sheetNames>
  </externalBook>
</externalLink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7109375" style="565" customWidth="1"/>
    <col min="2" max="2" width="8.7109375" style="565" customWidth="1"/>
    <col min="3" max="4" width="25.7109375" style="565" customWidth="1"/>
    <col min="5" max="5" width="11.7109375" style="565" customWidth="1"/>
    <col min="6" max="6" width="20.7109375" style="565" customWidth="1"/>
    <col min="7" max="7" width="10.7109375" style="566" customWidth="1"/>
    <col min="8" max="9" width="15.7109375" style="565" customWidth="1"/>
    <col min="10" max="10" width="20.7109375" style="565" customWidth="1"/>
    <col min="11" max="11" width="8.7109375" style="566" customWidth="1"/>
    <col min="12" max="12" width="15.7109375" style="565" customWidth="1"/>
    <col min="13" max="16384" width="9.140625" style="565" customWidth="1"/>
  </cols>
  <sheetData>
    <row r="1" spans="1:11" ht="15.75">
      <c r="A1" s="627" t="s">
        <v>294</v>
      </c>
      <c r="B1" s="627"/>
      <c r="C1" s="627"/>
      <c r="D1" s="627"/>
      <c r="E1" s="627"/>
      <c r="F1" s="627"/>
      <c r="G1" s="627"/>
      <c r="H1" s="627"/>
      <c r="I1" s="627"/>
      <c r="J1" s="5"/>
      <c r="K1" s="57" t="s">
        <v>2126</v>
      </c>
    </row>
    <row r="2" spans="1:11" s="5" customFormat="1" ht="12.75">
      <c r="A2" s="627" t="s">
        <v>1237</v>
      </c>
      <c r="B2" s="627"/>
      <c r="C2" s="627"/>
      <c r="D2" s="627"/>
      <c r="E2" s="627"/>
      <c r="F2" s="627"/>
      <c r="G2" s="627"/>
      <c r="H2" s="627"/>
      <c r="I2" s="627"/>
      <c r="J2" s="18"/>
      <c r="K2" s="559"/>
    </row>
    <row r="3" spans="2:11" s="5" customFormat="1" ht="12.75">
      <c r="B3" s="2"/>
      <c r="C3" s="2"/>
      <c r="D3" s="2"/>
      <c r="E3" s="2"/>
      <c r="F3" s="2"/>
      <c r="G3" s="2"/>
      <c r="H3" s="2"/>
      <c r="I3" s="2"/>
      <c r="J3" s="2"/>
      <c r="K3" s="559"/>
    </row>
    <row r="4" spans="1:11" s="5" customFormat="1" ht="51.75" thickBot="1">
      <c r="A4" s="11" t="s">
        <v>1096</v>
      </c>
      <c r="B4" s="11" t="s">
        <v>1271</v>
      </c>
      <c r="C4" s="12" t="s">
        <v>481</v>
      </c>
      <c r="D4" s="12" t="s">
        <v>477</v>
      </c>
      <c r="E4" s="13" t="s">
        <v>160</v>
      </c>
      <c r="F4" s="13" t="s">
        <v>1104</v>
      </c>
      <c r="G4" s="11" t="s">
        <v>1765</v>
      </c>
      <c r="H4" s="13" t="s">
        <v>1764</v>
      </c>
      <c r="I4" s="13" t="s">
        <v>159</v>
      </c>
      <c r="J4" s="11" t="s">
        <v>2321</v>
      </c>
      <c r="K4" s="560" t="s">
        <v>582</v>
      </c>
    </row>
    <row r="5" spans="1:11" s="5" customFormat="1" ht="26.25" thickTop="1">
      <c r="A5" s="3">
        <v>1</v>
      </c>
      <c r="B5" s="3" t="s">
        <v>3336</v>
      </c>
      <c r="C5" s="9" t="s">
        <v>1863</v>
      </c>
      <c r="D5" s="8" t="s">
        <v>295</v>
      </c>
      <c r="E5" s="37">
        <v>1396100</v>
      </c>
      <c r="F5" s="7" t="s">
        <v>3335</v>
      </c>
      <c r="G5" s="7">
        <v>26</v>
      </c>
      <c r="H5" s="7" t="s">
        <v>296</v>
      </c>
      <c r="I5" s="4" t="s">
        <v>1848</v>
      </c>
      <c r="J5" s="15" t="s">
        <v>1849</v>
      </c>
      <c r="K5" s="7" t="s">
        <v>323</v>
      </c>
    </row>
    <row r="6" spans="1:11" s="5" customFormat="1" ht="25.5">
      <c r="A6" s="14">
        <f>A5+1</f>
        <v>2</v>
      </c>
      <c r="B6" s="14" t="s">
        <v>3351</v>
      </c>
      <c r="C6" s="9" t="s">
        <v>1862</v>
      </c>
      <c r="D6" s="8" t="s">
        <v>1851</v>
      </c>
      <c r="E6" s="37">
        <v>2889331.481</v>
      </c>
      <c r="F6" s="7" t="s">
        <v>3352</v>
      </c>
      <c r="G6" s="7">
        <v>30</v>
      </c>
      <c r="H6" s="7" t="s">
        <v>1852</v>
      </c>
      <c r="I6" s="3" t="s">
        <v>173</v>
      </c>
      <c r="J6" s="8" t="s">
        <v>1850</v>
      </c>
      <c r="K6" s="10" t="s">
        <v>2144</v>
      </c>
    </row>
    <row r="7" spans="1:11" s="5" customFormat="1" ht="25.5">
      <c r="A7" s="14">
        <f aca="true" t="shared" si="0" ref="A7:A22">A6+1</f>
        <v>3</v>
      </c>
      <c r="B7" s="14" t="s">
        <v>3353</v>
      </c>
      <c r="C7" s="9" t="s">
        <v>1856</v>
      </c>
      <c r="D7" s="8" t="s">
        <v>1854</v>
      </c>
      <c r="E7" s="37">
        <v>4111087.185</v>
      </c>
      <c r="F7" s="7" t="s">
        <v>3354</v>
      </c>
      <c r="G7" s="7">
        <v>25</v>
      </c>
      <c r="H7" s="7" t="s">
        <v>1855</v>
      </c>
      <c r="I7" s="7" t="s">
        <v>1855</v>
      </c>
      <c r="J7" s="8" t="s">
        <v>1853</v>
      </c>
      <c r="K7" s="10" t="s">
        <v>317</v>
      </c>
    </row>
    <row r="8" spans="1:11" s="5" customFormat="1" ht="25.5">
      <c r="A8" s="14">
        <f t="shared" si="0"/>
        <v>4</v>
      </c>
      <c r="B8" s="14" t="s">
        <v>3340</v>
      </c>
      <c r="C8" s="9" t="s">
        <v>1861</v>
      </c>
      <c r="D8" s="8" t="s">
        <v>1858</v>
      </c>
      <c r="E8" s="37">
        <f>1220000+11199500</f>
        <v>12419500</v>
      </c>
      <c r="F8" s="10" t="s">
        <v>3339</v>
      </c>
      <c r="G8" s="7">
        <v>22</v>
      </c>
      <c r="H8" s="7" t="s">
        <v>1859</v>
      </c>
      <c r="I8" s="3" t="s">
        <v>1860</v>
      </c>
      <c r="J8" s="8" t="s">
        <v>1857</v>
      </c>
      <c r="K8" s="10" t="s">
        <v>2143</v>
      </c>
    </row>
    <row r="9" spans="1:11" s="5" customFormat="1" ht="25.5">
      <c r="A9" s="14">
        <f t="shared" si="0"/>
        <v>5</v>
      </c>
      <c r="B9" s="14" t="s">
        <v>3341</v>
      </c>
      <c r="C9" s="9" t="s">
        <v>1283</v>
      </c>
      <c r="D9" s="8" t="s">
        <v>1865</v>
      </c>
      <c r="E9" s="37">
        <v>2405692.476</v>
      </c>
      <c r="F9" s="7" t="s">
        <v>3342</v>
      </c>
      <c r="G9" s="7">
        <v>17</v>
      </c>
      <c r="H9" s="7" t="s">
        <v>1866</v>
      </c>
      <c r="I9" s="3" t="s">
        <v>1867</v>
      </c>
      <c r="J9" s="15" t="s">
        <v>1864</v>
      </c>
      <c r="K9" s="7" t="s">
        <v>2147</v>
      </c>
    </row>
    <row r="10" spans="1:11" s="5" customFormat="1" ht="12.75">
      <c r="A10" s="14">
        <f t="shared" si="0"/>
        <v>6</v>
      </c>
      <c r="B10" s="14" t="s">
        <v>1875</v>
      </c>
      <c r="C10" s="9" t="s">
        <v>3167</v>
      </c>
      <c r="D10" s="8" t="s">
        <v>3035</v>
      </c>
      <c r="E10" s="37">
        <v>34538</v>
      </c>
      <c r="F10" s="7" t="s">
        <v>1870</v>
      </c>
      <c r="G10" s="7">
        <v>11</v>
      </c>
      <c r="H10" s="7" t="s">
        <v>1876</v>
      </c>
      <c r="I10" s="3" t="s">
        <v>1877</v>
      </c>
      <c r="J10" s="8" t="s">
        <v>3163</v>
      </c>
      <c r="K10" s="10" t="s">
        <v>2903</v>
      </c>
    </row>
    <row r="11" spans="1:11" s="5" customFormat="1" ht="12.75">
      <c r="A11" s="14">
        <f t="shared" si="0"/>
        <v>7</v>
      </c>
      <c r="B11" s="14" t="s">
        <v>3169</v>
      </c>
      <c r="C11" s="9" t="s">
        <v>1281</v>
      </c>
      <c r="D11" s="8" t="s">
        <v>3168</v>
      </c>
      <c r="E11" s="37">
        <v>1128450</v>
      </c>
      <c r="F11" s="7" t="s">
        <v>1870</v>
      </c>
      <c r="G11" s="7">
        <v>35</v>
      </c>
      <c r="H11" s="7" t="s">
        <v>3170</v>
      </c>
      <c r="I11" s="3" t="s">
        <v>3171</v>
      </c>
      <c r="J11" s="8" t="s">
        <v>3175</v>
      </c>
      <c r="K11" s="10" t="s">
        <v>2904</v>
      </c>
    </row>
    <row r="12" spans="1:11" s="5" customFormat="1" ht="12.75">
      <c r="A12" s="14">
        <f t="shared" si="0"/>
        <v>8</v>
      </c>
      <c r="B12" s="14" t="s">
        <v>3173</v>
      </c>
      <c r="C12" s="9" t="s">
        <v>1281</v>
      </c>
      <c r="D12" s="8" t="s">
        <v>3172</v>
      </c>
      <c r="E12" s="37">
        <v>731300</v>
      </c>
      <c r="F12" s="7" t="s">
        <v>1870</v>
      </c>
      <c r="G12" s="7">
        <v>14</v>
      </c>
      <c r="H12" s="7" t="s">
        <v>3170</v>
      </c>
      <c r="I12" s="3" t="s">
        <v>3171</v>
      </c>
      <c r="J12" s="8" t="s">
        <v>3174</v>
      </c>
      <c r="K12" s="10" t="s">
        <v>2904</v>
      </c>
    </row>
    <row r="13" spans="1:11" s="5" customFormat="1" ht="12.75">
      <c r="A13" s="14">
        <f t="shared" si="0"/>
        <v>9</v>
      </c>
      <c r="B13" s="14" t="s">
        <v>3177</v>
      </c>
      <c r="C13" s="9" t="s">
        <v>1282</v>
      </c>
      <c r="D13" s="8" t="s">
        <v>3176</v>
      </c>
      <c r="E13" s="37">
        <v>873127</v>
      </c>
      <c r="F13" s="7" t="s">
        <v>1870</v>
      </c>
      <c r="G13" s="7">
        <v>15</v>
      </c>
      <c r="H13" s="7" t="s">
        <v>3104</v>
      </c>
      <c r="I13" s="10" t="s">
        <v>3105</v>
      </c>
      <c r="J13" s="8" t="s">
        <v>3103</v>
      </c>
      <c r="K13" s="10" t="s">
        <v>2906</v>
      </c>
    </row>
    <row r="14" spans="1:11" s="5" customFormat="1" ht="25.5">
      <c r="A14" s="14">
        <f t="shared" si="0"/>
        <v>10</v>
      </c>
      <c r="B14" s="14" t="s">
        <v>109</v>
      </c>
      <c r="C14" s="9" t="s">
        <v>1550</v>
      </c>
      <c r="D14" s="8" t="s">
        <v>1551</v>
      </c>
      <c r="E14" s="37">
        <v>1084394.554</v>
      </c>
      <c r="F14" s="7" t="s">
        <v>1870</v>
      </c>
      <c r="G14" s="7">
        <v>35</v>
      </c>
      <c r="H14" s="7" t="s">
        <v>110</v>
      </c>
      <c r="I14" s="3" t="s">
        <v>1549</v>
      </c>
      <c r="J14" s="8" t="s">
        <v>1102</v>
      </c>
      <c r="K14" s="10" t="s">
        <v>2905</v>
      </c>
    </row>
    <row r="15" spans="1:11" s="5" customFormat="1" ht="25.5">
      <c r="A15" s="14">
        <f t="shared" si="0"/>
        <v>11</v>
      </c>
      <c r="B15" s="14" t="s">
        <v>1553</v>
      </c>
      <c r="C15" s="9" t="s">
        <v>1550</v>
      </c>
      <c r="D15" s="8" t="s">
        <v>1063</v>
      </c>
      <c r="E15" s="37">
        <v>2387748.5</v>
      </c>
      <c r="F15" s="7" t="s">
        <v>1870</v>
      </c>
      <c r="G15" s="7">
        <v>35</v>
      </c>
      <c r="H15" s="7" t="s">
        <v>1554</v>
      </c>
      <c r="I15" s="3" t="s">
        <v>1549</v>
      </c>
      <c r="J15" s="8" t="s">
        <v>1103</v>
      </c>
      <c r="K15" s="10" t="s">
        <v>328</v>
      </c>
    </row>
    <row r="16" spans="1:11" s="5" customFormat="1" ht="25.5">
      <c r="A16" s="14">
        <f t="shared" si="0"/>
        <v>12</v>
      </c>
      <c r="B16" s="14" t="s">
        <v>1097</v>
      </c>
      <c r="C16" s="9" t="s">
        <v>1550</v>
      </c>
      <c r="D16" s="8" t="s">
        <v>1062</v>
      </c>
      <c r="E16" s="37">
        <v>1256805</v>
      </c>
      <c r="F16" s="7" t="s">
        <v>1870</v>
      </c>
      <c r="G16" s="7">
        <v>12</v>
      </c>
      <c r="H16" s="7" t="s">
        <v>110</v>
      </c>
      <c r="I16" s="3" t="s">
        <v>1549</v>
      </c>
      <c r="J16" s="8" t="s">
        <v>1098</v>
      </c>
      <c r="K16" s="10" t="s">
        <v>2905</v>
      </c>
    </row>
    <row r="17" spans="1:11" s="5" customFormat="1" ht="12.75">
      <c r="A17" s="14">
        <f t="shared" si="0"/>
        <v>13</v>
      </c>
      <c r="B17" s="14" t="s">
        <v>1100</v>
      </c>
      <c r="C17" s="9" t="s">
        <v>3167</v>
      </c>
      <c r="D17" s="8" t="s">
        <v>1101</v>
      </c>
      <c r="E17" s="37">
        <f>14832.5+22727.5+11015+21867</f>
        <v>70442</v>
      </c>
      <c r="F17" s="7" t="s">
        <v>1870</v>
      </c>
      <c r="G17" s="7">
        <f>9+5</f>
        <v>14</v>
      </c>
      <c r="H17" s="7" t="s">
        <v>1876</v>
      </c>
      <c r="I17" s="3" t="s">
        <v>1877</v>
      </c>
      <c r="J17" s="8" t="s">
        <v>1099</v>
      </c>
      <c r="K17" s="10" t="s">
        <v>2903</v>
      </c>
    </row>
    <row r="18" spans="1:11" s="5" customFormat="1" ht="37.5" customHeight="1">
      <c r="A18" s="14">
        <f t="shared" si="0"/>
        <v>14</v>
      </c>
      <c r="B18" s="14" t="s">
        <v>1297</v>
      </c>
      <c r="C18" s="9" t="s">
        <v>3187</v>
      </c>
      <c r="D18" s="8" t="s">
        <v>476</v>
      </c>
      <c r="E18" s="37">
        <v>9084860</v>
      </c>
      <c r="F18" s="10" t="s">
        <v>475</v>
      </c>
      <c r="G18" s="7">
        <v>35</v>
      </c>
      <c r="H18" s="7" t="s">
        <v>3186</v>
      </c>
      <c r="I18" s="7" t="s">
        <v>2146</v>
      </c>
      <c r="J18" s="8" t="s">
        <v>601</v>
      </c>
      <c r="K18" s="10" t="s">
        <v>2145</v>
      </c>
    </row>
    <row r="19" spans="1:11" s="5" customFormat="1" ht="25.5" customHeight="1">
      <c r="A19" s="14">
        <f t="shared" si="0"/>
        <v>15</v>
      </c>
      <c r="B19" s="14" t="s">
        <v>2122</v>
      </c>
      <c r="C19" s="9" t="s">
        <v>1236</v>
      </c>
      <c r="D19" s="8" t="s">
        <v>1233</v>
      </c>
      <c r="E19" s="37">
        <v>5603000</v>
      </c>
      <c r="F19" s="10" t="s">
        <v>2124</v>
      </c>
      <c r="G19" s="7">
        <v>35</v>
      </c>
      <c r="H19" s="7" t="s">
        <v>1235</v>
      </c>
      <c r="I19" s="7" t="s">
        <v>1235</v>
      </c>
      <c r="J19" s="8" t="s">
        <v>2123</v>
      </c>
      <c r="K19" s="10" t="s">
        <v>324</v>
      </c>
    </row>
    <row r="20" spans="1:11" s="5" customFormat="1" ht="25.5" customHeight="1">
      <c r="A20" s="14">
        <f t="shared" si="0"/>
        <v>16</v>
      </c>
      <c r="B20" s="3" t="s">
        <v>594</v>
      </c>
      <c r="C20" s="9" t="s">
        <v>2907</v>
      </c>
      <c r="D20" s="8" t="s">
        <v>593</v>
      </c>
      <c r="E20" s="37">
        <v>1370172</v>
      </c>
      <c r="F20" s="10" t="s">
        <v>1870</v>
      </c>
      <c r="G20" s="7">
        <v>30</v>
      </c>
      <c r="H20" s="7" t="s">
        <v>2142</v>
      </c>
      <c r="I20" s="7" t="s">
        <v>2142</v>
      </c>
      <c r="J20" s="8" t="s">
        <v>596</v>
      </c>
      <c r="K20" s="10" t="s">
        <v>2141</v>
      </c>
    </row>
    <row r="21" spans="1:11" s="5" customFormat="1" ht="25.5" customHeight="1">
      <c r="A21" s="14">
        <f t="shared" si="0"/>
        <v>17</v>
      </c>
      <c r="B21" s="3" t="s">
        <v>597</v>
      </c>
      <c r="C21" s="9" t="s">
        <v>322</v>
      </c>
      <c r="D21" s="8" t="s">
        <v>598</v>
      </c>
      <c r="E21" s="37">
        <v>16038000</v>
      </c>
      <c r="F21" s="10" t="s">
        <v>325</v>
      </c>
      <c r="G21" s="7">
        <v>15</v>
      </c>
      <c r="H21" s="7" t="s">
        <v>327</v>
      </c>
      <c r="I21" s="7" t="s">
        <v>327</v>
      </c>
      <c r="J21" s="8" t="s">
        <v>2661</v>
      </c>
      <c r="K21" s="10" t="s">
        <v>326</v>
      </c>
    </row>
    <row r="22" spans="1:11" s="5" customFormat="1" ht="51" customHeight="1" thickBot="1">
      <c r="A22" s="14">
        <f t="shared" si="0"/>
        <v>18</v>
      </c>
      <c r="B22" s="3" t="s">
        <v>599</v>
      </c>
      <c r="C22" s="9" t="s">
        <v>318</v>
      </c>
      <c r="D22" s="8" t="s">
        <v>600</v>
      </c>
      <c r="E22" s="37">
        <f>13.7*1000^2</f>
        <v>13700000</v>
      </c>
      <c r="F22" s="10" t="s">
        <v>319</v>
      </c>
      <c r="G22" s="7">
        <v>30</v>
      </c>
      <c r="H22" s="7" t="s">
        <v>321</v>
      </c>
      <c r="I22" s="7" t="s">
        <v>312</v>
      </c>
      <c r="J22" s="15" t="s">
        <v>595</v>
      </c>
      <c r="K22" s="7" t="s">
        <v>320</v>
      </c>
    </row>
    <row r="23" spans="1:11" s="5" customFormat="1" ht="14.25" thickBot="1" thickTop="1">
      <c r="A23" s="31"/>
      <c r="B23" s="31"/>
      <c r="C23" s="32"/>
      <c r="D23" s="33"/>
      <c r="E23" s="45">
        <f>SUM(E5:E22)</f>
        <v>76584548.19600001</v>
      </c>
      <c r="F23" s="34"/>
      <c r="G23" s="48">
        <f>AVERAGE(G5:G22)</f>
        <v>24.22222222222222</v>
      </c>
      <c r="H23" s="34"/>
      <c r="I23" s="35"/>
      <c r="J23" s="33"/>
      <c r="K23" s="561"/>
    </row>
    <row r="24" spans="1:11" s="5" customFormat="1" ht="12.75">
      <c r="A24" s="601"/>
      <c r="B24" s="628" t="s">
        <v>3038</v>
      </c>
      <c r="C24" s="628"/>
      <c r="D24" s="574" t="s">
        <v>3033</v>
      </c>
      <c r="E24" s="575">
        <f>SUM(E25:E25)</f>
        <v>4111087.185</v>
      </c>
      <c r="F24" s="576"/>
      <c r="G24" s="597">
        <f>SUM(G25:G25)</f>
        <v>25</v>
      </c>
      <c r="H24" s="576"/>
      <c r="I24" s="577"/>
      <c r="J24" s="562"/>
      <c r="K24" s="602"/>
    </row>
    <row r="25" spans="1:11" s="5" customFormat="1" ht="12.75">
      <c r="A25" s="603"/>
      <c r="B25" s="629" t="s">
        <v>3038</v>
      </c>
      <c r="C25" s="629"/>
      <c r="D25" s="27" t="s">
        <v>2295</v>
      </c>
      <c r="E25" s="37">
        <f>E7</f>
        <v>4111087.185</v>
      </c>
      <c r="F25" s="46" t="str">
        <f>F7</f>
        <v>манганови руди</v>
      </c>
      <c r="G25" s="46">
        <f>G7</f>
        <v>25</v>
      </c>
      <c r="H25" s="7"/>
      <c r="I25" s="3"/>
      <c r="J25" s="8"/>
      <c r="K25" s="596"/>
    </row>
    <row r="26" spans="1:11" s="5" customFormat="1" ht="12.75">
      <c r="A26" s="603"/>
      <c r="B26" s="630" t="s">
        <v>3039</v>
      </c>
      <c r="C26" s="630"/>
      <c r="D26" s="9" t="s">
        <v>761</v>
      </c>
      <c r="E26" s="39">
        <f>SUM(E27:E28)</f>
        <v>24393691.481</v>
      </c>
      <c r="F26" s="7"/>
      <c r="G26" s="558">
        <f>SUM(G27:G28)</f>
        <v>87</v>
      </c>
      <c r="H26" s="7"/>
      <c r="I26" s="3"/>
      <c r="J26" s="8"/>
      <c r="K26" s="596"/>
    </row>
    <row r="27" spans="1:11" s="5" customFormat="1" ht="25.5">
      <c r="A27" s="603"/>
      <c r="B27" s="629" t="s">
        <v>3038</v>
      </c>
      <c r="C27" s="629"/>
      <c r="D27" s="27" t="s">
        <v>765</v>
      </c>
      <c r="E27" s="37">
        <f>E18</f>
        <v>9084860</v>
      </c>
      <c r="F27" s="36" t="str">
        <f>F18</f>
        <v>железни руди и баритна суровина</v>
      </c>
      <c r="G27" s="46">
        <f>G18</f>
        <v>35</v>
      </c>
      <c r="H27" s="7"/>
      <c r="I27" s="3"/>
      <c r="J27" s="8"/>
      <c r="K27" s="596"/>
    </row>
    <row r="28" spans="1:11" s="5" customFormat="1" ht="38.25">
      <c r="A28" s="603"/>
      <c r="B28" s="629" t="s">
        <v>3040</v>
      </c>
      <c r="C28" s="629"/>
      <c r="D28" s="8" t="s">
        <v>3032</v>
      </c>
      <c r="E28" s="37">
        <f>E6+E8</f>
        <v>15308831.481</v>
      </c>
      <c r="F28" s="10" t="s">
        <v>3036</v>
      </c>
      <c r="G28" s="46">
        <f>G6+G8</f>
        <v>52</v>
      </c>
      <c r="H28" s="7"/>
      <c r="I28" s="3"/>
      <c r="J28" s="8"/>
      <c r="K28" s="596"/>
    </row>
    <row r="29" spans="1:11" s="5" customFormat="1" ht="12.75">
      <c r="A29" s="603"/>
      <c r="B29" s="630" t="s">
        <v>604</v>
      </c>
      <c r="C29" s="630"/>
      <c r="D29" s="9" t="s">
        <v>3025</v>
      </c>
      <c r="E29" s="39">
        <f>SUM(E30:E34)</f>
        <v>48079769.53</v>
      </c>
      <c r="F29" s="7"/>
      <c r="G29" s="558">
        <f>SUM(G30:G34)</f>
        <v>324</v>
      </c>
      <c r="H29" s="7"/>
      <c r="I29" s="3"/>
      <c r="J29" s="8"/>
      <c r="K29" s="596"/>
    </row>
    <row r="30" spans="1:11" s="5" customFormat="1" ht="12.75">
      <c r="A30" s="603"/>
      <c r="B30" s="629" t="s">
        <v>3038</v>
      </c>
      <c r="C30" s="629"/>
      <c r="D30" s="27" t="s">
        <v>3026</v>
      </c>
      <c r="E30" s="37">
        <f>E22</f>
        <v>13700000</v>
      </c>
      <c r="F30" s="7" t="s">
        <v>1870</v>
      </c>
      <c r="G30" s="46">
        <f>G22</f>
        <v>30</v>
      </c>
      <c r="H30" s="7"/>
      <c r="I30" s="3"/>
      <c r="J30" s="8"/>
      <c r="K30" s="596"/>
    </row>
    <row r="31" spans="1:11" s="5" customFormat="1" ht="38.25">
      <c r="A31" s="603"/>
      <c r="B31" s="629" t="s">
        <v>2355</v>
      </c>
      <c r="C31" s="629"/>
      <c r="D31" s="27" t="s">
        <v>3027</v>
      </c>
      <c r="E31" s="37">
        <f>E5+E19+E21</f>
        <v>23037100</v>
      </c>
      <c r="F31" s="10" t="s">
        <v>3037</v>
      </c>
      <c r="G31" s="46">
        <f>G5+G19+G21</f>
        <v>76</v>
      </c>
      <c r="H31" s="7"/>
      <c r="I31" s="3"/>
      <c r="J31" s="8"/>
      <c r="K31" s="596"/>
    </row>
    <row r="32" spans="1:11" s="5" customFormat="1" ht="12.75">
      <c r="A32" s="603"/>
      <c r="B32" s="629" t="s">
        <v>3041</v>
      </c>
      <c r="C32" s="629"/>
      <c r="D32" s="27" t="s">
        <v>3028</v>
      </c>
      <c r="E32" s="37">
        <f>E10+E17</f>
        <v>104980</v>
      </c>
      <c r="F32" s="7" t="s">
        <v>1870</v>
      </c>
      <c r="G32" s="46">
        <f>G10+G17</f>
        <v>25</v>
      </c>
      <c r="H32" s="7"/>
      <c r="I32" s="3"/>
      <c r="J32" s="8"/>
      <c r="K32" s="596"/>
    </row>
    <row r="33" spans="1:11" s="5" customFormat="1" ht="12.75">
      <c r="A33" s="603"/>
      <c r="B33" s="629" t="s">
        <v>1273</v>
      </c>
      <c r="C33" s="629"/>
      <c r="D33" s="27" t="s">
        <v>3029</v>
      </c>
      <c r="E33" s="37">
        <f>E11+E12+E13+E14+E15+E16+E20</f>
        <v>8831997.054</v>
      </c>
      <c r="F33" s="7" t="s">
        <v>1870</v>
      </c>
      <c r="G33" s="46">
        <f>G11+G12+G13+G14+G15+G16+G20</f>
        <v>176</v>
      </c>
      <c r="H33" s="7"/>
      <c r="I33" s="3"/>
      <c r="J33" s="8"/>
      <c r="K33" s="596"/>
    </row>
    <row r="34" spans="1:11" s="5" customFormat="1" ht="26.25" thickBot="1">
      <c r="A34" s="604"/>
      <c r="B34" s="631" t="s">
        <v>3038</v>
      </c>
      <c r="C34" s="631"/>
      <c r="D34" s="26" t="s">
        <v>3030</v>
      </c>
      <c r="E34" s="38">
        <f>E9</f>
        <v>2405692.476</v>
      </c>
      <c r="F34" s="599" t="str">
        <f>F9</f>
        <v>оловно-цинкови и златосъдържащи руди</v>
      </c>
      <c r="G34" s="598">
        <f>G9</f>
        <v>17</v>
      </c>
      <c r="H34" s="600"/>
      <c r="I34" s="600"/>
      <c r="J34" s="28"/>
      <c r="K34" s="605"/>
    </row>
    <row r="35" spans="1:11" s="5" customFormat="1" ht="14.25" thickBot="1" thickTop="1">
      <c r="A35" s="33"/>
      <c r="B35" s="632" t="s">
        <v>2662</v>
      </c>
      <c r="C35" s="633"/>
      <c r="D35" s="33"/>
      <c r="E35" s="45">
        <f>E24+E26+E29</f>
        <v>76584548.196</v>
      </c>
      <c r="F35" s="34"/>
      <c r="G35" s="48">
        <f>G24+G26+G29</f>
        <v>436</v>
      </c>
      <c r="H35" s="34"/>
      <c r="I35" s="35"/>
      <c r="J35" s="33"/>
      <c r="K35" s="33"/>
    </row>
    <row r="36" spans="2:11" s="5" customFormat="1" ht="12.75">
      <c r="B36" s="25"/>
      <c r="C36" s="40"/>
      <c r="D36" s="41"/>
      <c r="E36" s="42"/>
      <c r="F36" s="43"/>
      <c r="G36" s="43"/>
      <c r="H36" s="44"/>
      <c r="I36" s="44"/>
      <c r="J36" s="41"/>
      <c r="K36" s="559"/>
    </row>
    <row r="37" spans="2:11" s="5" customFormat="1" ht="12.75">
      <c r="B37" s="25"/>
      <c r="C37" s="40"/>
      <c r="D37" s="41"/>
      <c r="E37" s="42"/>
      <c r="F37" s="43"/>
      <c r="G37" s="43"/>
      <c r="H37" s="44"/>
      <c r="I37" s="44"/>
      <c r="J37" s="41"/>
      <c r="K37" s="559"/>
    </row>
    <row r="38" spans="2:11" s="5" customFormat="1" ht="12.75">
      <c r="B38" s="627" t="s">
        <v>473</v>
      </c>
      <c r="C38" s="627"/>
      <c r="D38" s="627"/>
      <c r="E38" s="627"/>
      <c r="F38" s="627"/>
      <c r="G38" s="627"/>
      <c r="H38" s="627"/>
      <c r="I38" s="627"/>
      <c r="J38" s="627"/>
      <c r="K38" s="627"/>
    </row>
    <row r="39" spans="2:11" s="5" customFormat="1" ht="12.75">
      <c r="B39" s="627" t="s">
        <v>1237</v>
      </c>
      <c r="C39" s="627"/>
      <c r="D39" s="627"/>
      <c r="E39" s="627"/>
      <c r="F39" s="627"/>
      <c r="G39" s="627"/>
      <c r="H39" s="627"/>
      <c r="I39" s="627"/>
      <c r="J39" s="627"/>
      <c r="K39" s="627"/>
    </row>
    <row r="41" spans="1:12" s="5" customFormat="1" ht="64.5" customHeight="1" thickBot="1">
      <c r="A41" s="11" t="s">
        <v>1096</v>
      </c>
      <c r="B41" s="11" t="s">
        <v>1271</v>
      </c>
      <c r="C41" s="12" t="s">
        <v>481</v>
      </c>
      <c r="D41" s="12" t="s">
        <v>477</v>
      </c>
      <c r="E41" s="13" t="s">
        <v>160</v>
      </c>
      <c r="F41" s="13" t="s">
        <v>1104</v>
      </c>
      <c r="G41" s="11" t="s">
        <v>1765</v>
      </c>
      <c r="H41" s="13" t="s">
        <v>1764</v>
      </c>
      <c r="I41" s="13" t="s">
        <v>3066</v>
      </c>
      <c r="J41" s="11" t="s">
        <v>3071</v>
      </c>
      <c r="K41" s="634" t="s">
        <v>2399</v>
      </c>
      <c r="L41" s="635"/>
    </row>
    <row r="42" spans="1:12" s="5" customFormat="1" ht="37.5" customHeight="1" thickTop="1">
      <c r="A42" s="3">
        <v>1</v>
      </c>
      <c r="B42" s="14" t="s">
        <v>474</v>
      </c>
      <c r="C42" s="9" t="s">
        <v>469</v>
      </c>
      <c r="D42" s="565"/>
      <c r="E42" s="37">
        <f>2928500+1624000</f>
        <v>4552500</v>
      </c>
      <c r="F42" s="10" t="s">
        <v>475</v>
      </c>
      <c r="G42" s="7">
        <v>34</v>
      </c>
      <c r="H42" s="10" t="s">
        <v>1867</v>
      </c>
      <c r="I42" s="14" t="s">
        <v>3079</v>
      </c>
      <c r="J42" s="14" t="s">
        <v>3075</v>
      </c>
      <c r="K42" s="636" t="s">
        <v>766</v>
      </c>
      <c r="L42" s="637"/>
    </row>
    <row r="43" spans="1:12" s="5" customFormat="1" ht="12.75" customHeight="1">
      <c r="A43" s="14">
        <f aca="true" t="shared" si="1" ref="A43:A48">A42+1</f>
        <v>2</v>
      </c>
      <c r="B43" s="14" t="s">
        <v>1871</v>
      </c>
      <c r="C43" s="9" t="s">
        <v>1283</v>
      </c>
      <c r="D43" s="8" t="s">
        <v>1868</v>
      </c>
      <c r="E43" s="37">
        <v>3328782.326</v>
      </c>
      <c r="F43" s="7" t="s">
        <v>1870</v>
      </c>
      <c r="G43" s="7">
        <v>17</v>
      </c>
      <c r="H43" s="7" t="s">
        <v>1866</v>
      </c>
      <c r="I43" s="3" t="s">
        <v>1867</v>
      </c>
      <c r="J43" s="15" t="s">
        <v>1869</v>
      </c>
      <c r="K43" s="638"/>
      <c r="L43" s="639"/>
    </row>
    <row r="44" spans="1:12" s="5" customFormat="1" ht="12.75" customHeight="1">
      <c r="A44" s="14">
        <f t="shared" si="1"/>
        <v>3</v>
      </c>
      <c r="B44" s="14" t="s">
        <v>1873</v>
      </c>
      <c r="C44" s="9" t="s">
        <v>1283</v>
      </c>
      <c r="D44" s="8" t="s">
        <v>1872</v>
      </c>
      <c r="E44" s="37">
        <v>6800857.888</v>
      </c>
      <c r="F44" s="7" t="s">
        <v>1870</v>
      </c>
      <c r="G44" s="7">
        <v>17</v>
      </c>
      <c r="H44" s="7" t="s">
        <v>1866</v>
      </c>
      <c r="I44" s="3" t="s">
        <v>1867</v>
      </c>
      <c r="J44" s="8" t="s">
        <v>1874</v>
      </c>
      <c r="K44" s="638"/>
      <c r="L44" s="639"/>
    </row>
    <row r="45" spans="1:12" s="5" customFormat="1" ht="12.75" customHeight="1">
      <c r="A45" s="14">
        <f t="shared" si="1"/>
        <v>4</v>
      </c>
      <c r="B45" s="14" t="s">
        <v>3164</v>
      </c>
      <c r="C45" s="9" t="s">
        <v>1215</v>
      </c>
      <c r="D45" s="8" t="s">
        <v>3166</v>
      </c>
      <c r="E45" s="37">
        <v>27809</v>
      </c>
      <c r="F45" s="7" t="s">
        <v>1870</v>
      </c>
      <c r="G45" s="7">
        <v>9</v>
      </c>
      <c r="H45" s="7" t="s">
        <v>1876</v>
      </c>
      <c r="I45" s="3" t="s">
        <v>1877</v>
      </c>
      <c r="J45" s="8" t="s">
        <v>3165</v>
      </c>
      <c r="K45" s="640" t="s">
        <v>347</v>
      </c>
      <c r="L45" s="639"/>
    </row>
    <row r="46" spans="1:12" s="5" customFormat="1" ht="25.5" customHeight="1">
      <c r="A46" s="14">
        <f t="shared" si="1"/>
        <v>5</v>
      </c>
      <c r="B46" s="14" t="s">
        <v>769</v>
      </c>
      <c r="C46" s="9" t="s">
        <v>3317</v>
      </c>
      <c r="D46" s="8" t="s">
        <v>3316</v>
      </c>
      <c r="E46" s="37">
        <f>616325+784569.5</f>
        <v>1400894.5</v>
      </c>
      <c r="F46" s="7" t="s">
        <v>1870</v>
      </c>
      <c r="G46" s="7">
        <v>11</v>
      </c>
      <c r="H46" s="7" t="s">
        <v>770</v>
      </c>
      <c r="I46" s="14" t="s">
        <v>3084</v>
      </c>
      <c r="J46" s="8" t="s">
        <v>3074</v>
      </c>
      <c r="K46" s="638" t="s">
        <v>3315</v>
      </c>
      <c r="L46" s="639"/>
    </row>
    <row r="47" spans="1:12" s="5" customFormat="1" ht="25.5" customHeight="1">
      <c r="A47" s="14">
        <f t="shared" si="1"/>
        <v>6</v>
      </c>
      <c r="B47" s="14" t="s">
        <v>3107</v>
      </c>
      <c r="C47" s="9" t="s">
        <v>3111</v>
      </c>
      <c r="D47" s="8" t="s">
        <v>1234</v>
      </c>
      <c r="E47" s="37">
        <v>4307668.15</v>
      </c>
      <c r="F47" s="7" t="s">
        <v>3108</v>
      </c>
      <c r="G47" s="7">
        <v>15</v>
      </c>
      <c r="H47" s="7" t="s">
        <v>3109</v>
      </c>
      <c r="I47" s="10" t="s">
        <v>3110</v>
      </c>
      <c r="J47" s="8" t="s">
        <v>3106</v>
      </c>
      <c r="K47" s="640" t="s">
        <v>346</v>
      </c>
      <c r="L47" s="639"/>
    </row>
    <row r="48" spans="1:12" s="5" customFormat="1" ht="25.5">
      <c r="A48" s="14">
        <f t="shared" si="1"/>
        <v>7</v>
      </c>
      <c r="B48" s="14" t="s">
        <v>3113</v>
      </c>
      <c r="C48" s="9" t="s">
        <v>103</v>
      </c>
      <c r="D48" s="8" t="s">
        <v>3114</v>
      </c>
      <c r="E48" s="37">
        <v>157991.054</v>
      </c>
      <c r="F48" s="10" t="s">
        <v>104</v>
      </c>
      <c r="G48" s="7">
        <v>20</v>
      </c>
      <c r="H48" s="7" t="s">
        <v>101</v>
      </c>
      <c r="I48" s="3" t="s">
        <v>102</v>
      </c>
      <c r="J48" s="8" t="s">
        <v>3112</v>
      </c>
      <c r="K48" s="638" t="s">
        <v>354</v>
      </c>
      <c r="L48" s="639"/>
    </row>
    <row r="50" spans="1:3" ht="12.75">
      <c r="A50" s="5"/>
      <c r="B50" s="5"/>
      <c r="C50" s="24"/>
    </row>
    <row r="51" ht="12.75">
      <c r="C51" s="567" t="s">
        <v>3085</v>
      </c>
    </row>
  </sheetData>
  <sheetProtection/>
  <mergeCells count="24">
    <mergeCell ref="K41:L41"/>
    <mergeCell ref="K42:L42"/>
    <mergeCell ref="K46:L46"/>
    <mergeCell ref="K48:L48"/>
    <mergeCell ref="K43:L43"/>
    <mergeCell ref="K44:L44"/>
    <mergeCell ref="K45:L45"/>
    <mergeCell ref="K47:L47"/>
    <mergeCell ref="A1:I1"/>
    <mergeCell ref="A2:I2"/>
    <mergeCell ref="B32:C32"/>
    <mergeCell ref="B33:C33"/>
    <mergeCell ref="B28:C28"/>
    <mergeCell ref="B29:C29"/>
    <mergeCell ref="B30:C30"/>
    <mergeCell ref="B31:C31"/>
    <mergeCell ref="B38:K38"/>
    <mergeCell ref="B39:K39"/>
    <mergeCell ref="B24:C24"/>
    <mergeCell ref="B25:C25"/>
    <mergeCell ref="B26:C26"/>
    <mergeCell ref="B27:C27"/>
    <mergeCell ref="B34:C34"/>
    <mergeCell ref="B35:C3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/>
  <cols>
    <col min="1" max="1" width="30.7109375" style="124" customWidth="1"/>
    <col min="2" max="21" width="8.7109375" style="124" customWidth="1"/>
    <col min="22" max="16384" width="9.140625" style="124" customWidth="1"/>
  </cols>
  <sheetData>
    <row r="1" spans="1:21" ht="14.25">
      <c r="A1" s="123" t="s">
        <v>1934</v>
      </c>
      <c r="B1" s="123"/>
      <c r="C1" s="123"/>
      <c r="D1" s="123"/>
      <c r="E1" s="123"/>
      <c r="F1" s="123"/>
      <c r="G1" s="123"/>
      <c r="Q1" s="122"/>
      <c r="U1" s="122" t="s">
        <v>922</v>
      </c>
    </row>
    <row r="2" spans="15:21" ht="13.5" thickBot="1">
      <c r="O2" s="125"/>
      <c r="P2" s="126"/>
      <c r="Q2" s="125"/>
      <c r="U2" s="125" t="s">
        <v>1935</v>
      </c>
    </row>
    <row r="3" spans="1:21" ht="12.75">
      <c r="A3" s="720" t="s">
        <v>1803</v>
      </c>
      <c r="B3" s="688">
        <v>1995</v>
      </c>
      <c r="C3" s="688">
        <f>B3+1</f>
        <v>1996</v>
      </c>
      <c r="D3" s="688">
        <f>C3+1</f>
        <v>1997</v>
      </c>
      <c r="E3" s="688">
        <f>D3+1</f>
        <v>1998</v>
      </c>
      <c r="F3" s="688">
        <f>E3+1</f>
        <v>1999</v>
      </c>
      <c r="G3" s="688">
        <f>F3+1</f>
        <v>2000</v>
      </c>
      <c r="H3" s="688">
        <f aca="true" t="shared" si="0" ref="H3:Q3">G3+1</f>
        <v>2001</v>
      </c>
      <c r="I3" s="688">
        <f t="shared" si="0"/>
        <v>2002</v>
      </c>
      <c r="J3" s="688">
        <f t="shared" si="0"/>
        <v>2003</v>
      </c>
      <c r="K3" s="688">
        <f t="shared" si="0"/>
        <v>2004</v>
      </c>
      <c r="L3" s="688">
        <f t="shared" si="0"/>
        <v>2005</v>
      </c>
      <c r="M3" s="688">
        <f t="shared" si="0"/>
        <v>2006</v>
      </c>
      <c r="N3" s="688">
        <f t="shared" si="0"/>
        <v>2007</v>
      </c>
      <c r="O3" s="688">
        <f t="shared" si="0"/>
        <v>2008</v>
      </c>
      <c r="P3" s="688">
        <f t="shared" si="0"/>
        <v>2009</v>
      </c>
      <c r="Q3" s="688">
        <f t="shared" si="0"/>
        <v>2010</v>
      </c>
      <c r="R3" s="688">
        <f>Q3+1</f>
        <v>2011</v>
      </c>
      <c r="S3" s="688">
        <f>R3+1</f>
        <v>2012</v>
      </c>
      <c r="T3" s="688">
        <f>S3+1</f>
        <v>2013</v>
      </c>
      <c r="U3" s="688" t="s">
        <v>1337</v>
      </c>
    </row>
    <row r="4" spans="1:21" ht="13.5" thickBot="1">
      <c r="A4" s="721"/>
      <c r="B4" s="689"/>
      <c r="C4" s="689"/>
      <c r="D4" s="689"/>
      <c r="E4" s="689"/>
      <c r="F4" s="689"/>
      <c r="G4" s="689"/>
      <c r="H4" s="689"/>
      <c r="I4" s="689"/>
      <c r="J4" s="689"/>
      <c r="K4" s="689"/>
      <c r="L4" s="689"/>
      <c r="M4" s="689"/>
      <c r="N4" s="689"/>
      <c r="O4" s="689"/>
      <c r="P4" s="689"/>
      <c r="Q4" s="689"/>
      <c r="R4" s="689"/>
      <c r="S4" s="689"/>
      <c r="T4" s="689"/>
      <c r="U4" s="689"/>
    </row>
    <row r="5" spans="1:21" ht="13.5" thickBot="1">
      <c r="A5" s="127" t="s">
        <v>900</v>
      </c>
      <c r="B5" s="128">
        <f>SUM(B14:B19)</f>
        <v>1405.0014609637446</v>
      </c>
      <c r="C5" s="128">
        <f aca="true" t="shared" si="1" ref="C5:S5">SUM(C14:C19)</f>
        <v>1393.2091696881323</v>
      </c>
      <c r="D5" s="128">
        <f t="shared" si="1"/>
        <v>1433.2067491406983</v>
      </c>
      <c r="E5" s="128">
        <f t="shared" si="1"/>
        <v>1053.4777640713373</v>
      </c>
      <c r="F5" s="128">
        <f t="shared" si="1"/>
        <v>1153.8455826938084</v>
      </c>
      <c r="G5" s="128">
        <f t="shared" si="1"/>
        <v>1934.8427455351436</v>
      </c>
      <c r="H5" s="128">
        <f t="shared" si="1"/>
        <v>1820.6351037666875</v>
      </c>
      <c r="I5" s="128">
        <f t="shared" si="1"/>
        <v>1674.5916669649207</v>
      </c>
      <c r="J5" s="128">
        <f t="shared" si="1"/>
        <v>1690.0921486018726</v>
      </c>
      <c r="K5" s="128">
        <f t="shared" si="1"/>
        <v>1941.786596994626</v>
      </c>
      <c r="L5" s="128">
        <f t="shared" si="1"/>
        <v>2962.557544748401</v>
      </c>
      <c r="M5" s="128">
        <f t="shared" si="1"/>
        <v>4041.254112296912</v>
      </c>
      <c r="N5" s="128">
        <f t="shared" si="1"/>
        <v>4302.610532990141</v>
      </c>
      <c r="O5" s="128">
        <f t="shared" si="1"/>
        <v>5458.617508679181</v>
      </c>
      <c r="P5" s="128">
        <f t="shared" si="1"/>
        <v>3365.242356953315</v>
      </c>
      <c r="Q5" s="128">
        <f t="shared" si="1"/>
        <v>4273.698233997841</v>
      </c>
      <c r="R5" s="128">
        <f t="shared" si="1"/>
        <v>5365.94562819877</v>
      </c>
      <c r="S5" s="128">
        <f t="shared" si="1"/>
        <v>6421.193681454933</v>
      </c>
      <c r="T5" s="128">
        <f>SUM(T14:T19)</f>
        <v>6037.234155831542</v>
      </c>
      <c r="U5" s="128">
        <f>SUM(U14:U19)</f>
        <v>3987.7161961929205</v>
      </c>
    </row>
    <row r="6" spans="1:21" ht="13.5" thickBot="1">
      <c r="A6" s="129" t="s">
        <v>901</v>
      </c>
      <c r="B6" s="130">
        <f aca="true" t="shared" si="2" ref="B6:H6">SUM(B7:B9)</f>
        <v>1365.7</v>
      </c>
      <c r="C6" s="130">
        <f t="shared" si="2"/>
        <v>1358.3</v>
      </c>
      <c r="D6" s="130">
        <f t="shared" si="2"/>
        <v>1384</v>
      </c>
      <c r="E6" s="130">
        <f t="shared" si="2"/>
        <v>987</v>
      </c>
      <c r="F6" s="130">
        <f t="shared" si="2"/>
        <v>1102</v>
      </c>
      <c r="G6" s="130">
        <f t="shared" si="2"/>
        <v>1772</v>
      </c>
      <c r="H6" s="130">
        <f t="shared" si="2"/>
        <v>1610.7</v>
      </c>
      <c r="I6" s="131">
        <v>1573.7</v>
      </c>
      <c r="J6" s="130">
        <f aca="true" t="shared" si="3" ref="J6:Q6">SUM(J7:J9)</f>
        <v>1529.7</v>
      </c>
      <c r="K6" s="130">
        <f t="shared" si="3"/>
        <v>1725.6</v>
      </c>
      <c r="L6" s="130">
        <f t="shared" si="3"/>
        <v>2585.9</v>
      </c>
      <c r="M6" s="130">
        <f t="shared" si="3"/>
        <v>3527.1</v>
      </c>
      <c r="N6" s="130">
        <f t="shared" si="3"/>
        <v>3752.7</v>
      </c>
      <c r="O6" s="130">
        <f t="shared" si="3"/>
        <v>4788.9</v>
      </c>
      <c r="P6" s="130">
        <f t="shared" si="3"/>
        <v>2855.5</v>
      </c>
      <c r="Q6" s="130">
        <f t="shared" si="3"/>
        <v>3410.2</v>
      </c>
      <c r="R6" s="130">
        <f>SUM(R7:R9)+0.1</f>
        <v>4179</v>
      </c>
      <c r="S6" s="130">
        <f>SUM(S7:S9)-0.1</f>
        <v>5181.099999999999</v>
      </c>
      <c r="T6" s="130">
        <f>SUM(T7:T9)</f>
        <v>4646.2</v>
      </c>
      <c r="U6" s="130">
        <f>SUM(U7:U9)</f>
        <v>2934.2</v>
      </c>
    </row>
    <row r="7" spans="1:21" ht="13.5" thickBot="1">
      <c r="A7" s="132" t="s">
        <v>902</v>
      </c>
      <c r="B7" s="130">
        <v>1194.7</v>
      </c>
      <c r="C7" s="130">
        <v>1151.7</v>
      </c>
      <c r="D7" s="130">
        <v>1151.6</v>
      </c>
      <c r="E7" s="130">
        <v>749.5</v>
      </c>
      <c r="F7" s="130">
        <v>931.8</v>
      </c>
      <c r="G7" s="130">
        <v>1571.5</v>
      </c>
      <c r="H7" s="131">
        <v>1389.6</v>
      </c>
      <c r="I7" s="131">
        <v>1362.1</v>
      </c>
      <c r="J7" s="131">
        <v>1302.3</v>
      </c>
      <c r="K7" s="131">
        <v>1482.6</v>
      </c>
      <c r="L7" s="131">
        <v>2283.4</v>
      </c>
      <c r="M7" s="131">
        <v>3192.2</v>
      </c>
      <c r="N7" s="131">
        <v>3336.2</v>
      </c>
      <c r="O7" s="133">
        <v>4298.6</v>
      </c>
      <c r="P7" s="133">
        <v>2588.5</v>
      </c>
      <c r="Q7" s="133">
        <v>3116.8</v>
      </c>
      <c r="R7" s="133">
        <v>3830.6</v>
      </c>
      <c r="S7" s="133">
        <v>4792</v>
      </c>
      <c r="T7" s="133">
        <v>4345.3</v>
      </c>
      <c r="U7" s="133">
        <f>731.8+982.1+1021.8</f>
        <v>2735.7</v>
      </c>
    </row>
    <row r="8" spans="1:21" ht="13.5" thickBot="1">
      <c r="A8" s="132" t="s">
        <v>1231</v>
      </c>
      <c r="B8" s="130">
        <v>57.2</v>
      </c>
      <c r="C8" s="130">
        <v>139.1</v>
      </c>
      <c r="D8" s="130">
        <v>148.4</v>
      </c>
      <c r="E8" s="130">
        <v>151.4</v>
      </c>
      <c r="F8" s="130">
        <v>106</v>
      </c>
      <c r="G8" s="130">
        <v>140.9</v>
      </c>
      <c r="H8" s="131">
        <v>169.7</v>
      </c>
      <c r="I8" s="131">
        <v>162.2</v>
      </c>
      <c r="J8" s="131">
        <v>184.9</v>
      </c>
      <c r="K8" s="131">
        <v>212.3</v>
      </c>
      <c r="L8" s="131">
        <v>258.7</v>
      </c>
      <c r="M8" s="131">
        <v>275.8</v>
      </c>
      <c r="N8" s="131">
        <v>318.2</v>
      </c>
      <c r="O8" s="133">
        <v>442.9</v>
      </c>
      <c r="P8" s="133">
        <v>236.2</v>
      </c>
      <c r="Q8" s="133">
        <v>247.7</v>
      </c>
      <c r="R8" s="133">
        <v>304.1</v>
      </c>
      <c r="S8" s="133">
        <v>225.9</v>
      </c>
      <c r="T8" s="133">
        <v>139.4</v>
      </c>
      <c r="U8" s="133">
        <f>40.6+32.2+30.6</f>
        <v>103.4</v>
      </c>
    </row>
    <row r="9" spans="1:21" ht="13.5" thickBot="1">
      <c r="A9" s="132" t="s">
        <v>903</v>
      </c>
      <c r="B9" s="130">
        <v>113.8</v>
      </c>
      <c r="C9" s="130">
        <v>67.5</v>
      </c>
      <c r="D9" s="130">
        <v>84</v>
      </c>
      <c r="E9" s="130">
        <v>86.1</v>
      </c>
      <c r="F9" s="130">
        <v>64.2</v>
      </c>
      <c r="G9" s="130">
        <v>59.6</v>
      </c>
      <c r="H9" s="131">
        <v>51.4</v>
      </c>
      <c r="I9" s="131">
        <v>49.3</v>
      </c>
      <c r="J9" s="131">
        <v>42.5</v>
      </c>
      <c r="K9" s="131">
        <v>30.7</v>
      </c>
      <c r="L9" s="131">
        <v>43.8</v>
      </c>
      <c r="M9" s="131">
        <v>59.1</v>
      </c>
      <c r="N9" s="131">
        <v>98.3</v>
      </c>
      <c r="O9" s="133">
        <v>47.4</v>
      </c>
      <c r="P9" s="133">
        <v>30.8</v>
      </c>
      <c r="Q9" s="133">
        <v>45.7</v>
      </c>
      <c r="R9" s="133">
        <v>44.2</v>
      </c>
      <c r="S9" s="133">
        <v>163.3</v>
      </c>
      <c r="T9" s="133">
        <v>161.5</v>
      </c>
      <c r="U9" s="133">
        <f>22.9+37.2+35</f>
        <v>95.1</v>
      </c>
    </row>
    <row r="10" spans="1:21" ht="13.5" thickBot="1">
      <c r="A10" s="129" t="s">
        <v>904</v>
      </c>
      <c r="B10" s="130">
        <f>SUM(B11:B12)</f>
        <v>39.3</v>
      </c>
      <c r="C10" s="130">
        <f aca="true" t="shared" si="4" ref="C10:S10">SUM(C11:C12)</f>
        <v>34.9</v>
      </c>
      <c r="D10" s="130">
        <f t="shared" si="4"/>
        <v>49.2</v>
      </c>
      <c r="E10" s="130">
        <f t="shared" si="4"/>
        <v>66.4</v>
      </c>
      <c r="F10" s="130">
        <f t="shared" si="4"/>
        <v>51.8</v>
      </c>
      <c r="G10" s="130">
        <f t="shared" si="4"/>
        <v>162.8</v>
      </c>
      <c r="H10" s="130">
        <f t="shared" si="4"/>
        <v>210</v>
      </c>
      <c r="I10" s="130">
        <f t="shared" si="4"/>
        <v>100.9</v>
      </c>
      <c r="J10" s="130">
        <f t="shared" si="4"/>
        <v>160.4</v>
      </c>
      <c r="K10" s="130">
        <f t="shared" si="4"/>
        <v>216.2</v>
      </c>
      <c r="L10" s="130">
        <f t="shared" si="4"/>
        <v>376.7</v>
      </c>
      <c r="M10" s="130">
        <f t="shared" si="4"/>
        <v>514.1</v>
      </c>
      <c r="N10" s="130">
        <f t="shared" si="4"/>
        <v>549.9</v>
      </c>
      <c r="O10" s="130">
        <f t="shared" si="4"/>
        <v>669.7</v>
      </c>
      <c r="P10" s="130">
        <f t="shared" si="4"/>
        <v>509.7</v>
      </c>
      <c r="Q10" s="130">
        <f t="shared" si="4"/>
        <v>863.5</v>
      </c>
      <c r="R10" s="130">
        <f t="shared" si="4"/>
        <v>1187</v>
      </c>
      <c r="S10" s="130">
        <f t="shared" si="4"/>
        <v>1240.1</v>
      </c>
      <c r="T10" s="130">
        <f>SUM(T11:T12)</f>
        <v>1391</v>
      </c>
      <c r="U10" s="130">
        <f>SUM(U11:U12)</f>
        <v>1053.5</v>
      </c>
    </row>
    <row r="11" spans="1:21" ht="13.5" thickBot="1">
      <c r="A11" s="132" t="s">
        <v>905</v>
      </c>
      <c r="B11" s="130">
        <v>24</v>
      </c>
      <c r="C11" s="130">
        <v>27.1</v>
      </c>
      <c r="D11" s="130">
        <v>49.2</v>
      </c>
      <c r="E11" s="130">
        <v>66.4</v>
      </c>
      <c r="F11" s="130">
        <v>51.8</v>
      </c>
      <c r="G11" s="130">
        <v>162.8</v>
      </c>
      <c r="H11" s="131">
        <v>210</v>
      </c>
      <c r="I11" s="131">
        <v>100.9</v>
      </c>
      <c r="J11" s="131">
        <v>160.4</v>
      </c>
      <c r="K11" s="131">
        <v>216.2</v>
      </c>
      <c r="L11" s="131">
        <v>376.7</v>
      </c>
      <c r="M11" s="131">
        <v>514.1</v>
      </c>
      <c r="N11" s="131">
        <v>549.9</v>
      </c>
      <c r="O11" s="133">
        <v>669.7</v>
      </c>
      <c r="P11" s="133">
        <v>509.7</v>
      </c>
      <c r="Q11" s="133">
        <v>863.5</v>
      </c>
      <c r="R11" s="133">
        <v>1187</v>
      </c>
      <c r="S11" s="133">
        <v>1240.1</v>
      </c>
      <c r="T11" s="133">
        <v>1391</v>
      </c>
      <c r="U11" s="133">
        <f>377.5+315.1+360.9</f>
        <v>1053.5</v>
      </c>
    </row>
    <row r="12" spans="1:21" ht="13.5" thickBot="1">
      <c r="A12" s="132" t="s">
        <v>906</v>
      </c>
      <c r="B12" s="130">
        <v>15.3</v>
      </c>
      <c r="C12" s="130">
        <v>7.8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0">
        <v>0</v>
      </c>
      <c r="U12" s="130">
        <v>0</v>
      </c>
    </row>
    <row r="13" spans="1:21" ht="13.5" thickBot="1">
      <c r="A13" s="134" t="s">
        <v>907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21" ht="13.5" thickBot="1">
      <c r="A14" s="135" t="s">
        <v>1338</v>
      </c>
      <c r="B14" s="130">
        <v>18.45395798937426</v>
      </c>
      <c r="C14" s="130">
        <v>13.584132686708555</v>
      </c>
      <c r="D14" s="130">
        <v>24.585877578182913</v>
      </c>
      <c r="E14" s="130">
        <v>63.84230030778948</v>
      </c>
      <c r="F14" s="130">
        <v>70.24102606054727</v>
      </c>
      <c r="G14" s="130">
        <v>230.7287821538681</v>
      </c>
      <c r="H14" s="130">
        <v>179.04327318836505</v>
      </c>
      <c r="I14" s="130">
        <v>155.56423308774276</v>
      </c>
      <c r="J14" s="130">
        <v>217.00721228327615</v>
      </c>
      <c r="K14" s="130">
        <v>240.83403670053124</v>
      </c>
      <c r="L14" s="130">
        <v>427.98366320181225</v>
      </c>
      <c r="M14" s="130">
        <v>605.4288205007591</v>
      </c>
      <c r="N14" s="130">
        <v>617.4087778590165</v>
      </c>
      <c r="O14" s="130">
        <v>695.3829233624597</v>
      </c>
      <c r="P14" s="130">
        <v>460.8729495917336</v>
      </c>
      <c r="Q14" s="130">
        <v>567.4319685248716</v>
      </c>
      <c r="R14" s="130">
        <v>628.1110479949692</v>
      </c>
      <c r="S14" s="130">
        <v>948.2952189096192</v>
      </c>
      <c r="T14" s="130">
        <v>967.3682140063298</v>
      </c>
      <c r="U14" s="130">
        <v>656.2627626122925</v>
      </c>
    </row>
    <row r="15" spans="1:21" ht="13.5" thickBot="1">
      <c r="A15" s="136" t="s">
        <v>908</v>
      </c>
      <c r="B15" s="130">
        <v>1067.0949812127794</v>
      </c>
      <c r="C15" s="130">
        <v>1165.0617210264581</v>
      </c>
      <c r="D15" s="130">
        <v>1148.0375687099472</v>
      </c>
      <c r="E15" s="130">
        <v>742.0729174671912</v>
      </c>
      <c r="F15" s="130">
        <v>912.0453464769432</v>
      </c>
      <c r="G15" s="130">
        <v>1589.261250210908</v>
      </c>
      <c r="H15" s="130">
        <v>1524.7263064785795</v>
      </c>
      <c r="I15" s="130">
        <v>1139.2554439803055</v>
      </c>
      <c r="J15" s="130">
        <v>1185.6854271588022</v>
      </c>
      <c r="K15" s="130">
        <v>1454.6787711610925</v>
      </c>
      <c r="L15" s="130">
        <v>2223.3137715165763</v>
      </c>
      <c r="M15" s="130">
        <v>2981.7779523034565</v>
      </c>
      <c r="N15" s="130">
        <v>3446.972969398213</v>
      </c>
      <c r="O15" s="130">
        <v>4252.919546177327</v>
      </c>
      <c r="P15" s="130">
        <v>2487.1281686036114</v>
      </c>
      <c r="Q15" s="130">
        <v>3163.580198688024</v>
      </c>
      <c r="R15" s="130">
        <v>3759.4330325232763</v>
      </c>
      <c r="S15" s="130">
        <v>4919.079542700541</v>
      </c>
      <c r="T15" s="130">
        <v>4377.150856158257</v>
      </c>
      <c r="U15" s="130">
        <v>2785.2464242802284</v>
      </c>
    </row>
    <row r="16" spans="1:21" ht="13.5" thickBot="1">
      <c r="A16" s="136" t="s">
        <v>909</v>
      </c>
      <c r="B16" s="130">
        <v>0.7146247332502281</v>
      </c>
      <c r="C16" s="130">
        <v>0.2708364544811641</v>
      </c>
      <c r="D16" s="130">
        <v>7.186606285335464</v>
      </c>
      <c r="E16" s="130">
        <v>2.3101468350550887</v>
      </c>
      <c r="F16" s="130">
        <v>0.6991625038986009</v>
      </c>
      <c r="G16" s="130">
        <v>1.2563990735391113</v>
      </c>
      <c r="H16" s="130">
        <v>5.151824033786168</v>
      </c>
      <c r="I16" s="130">
        <v>1.4392119969527004</v>
      </c>
      <c r="J16" s="130">
        <v>1.917502543677109</v>
      </c>
      <c r="K16" s="130">
        <v>1.9150994718354872</v>
      </c>
      <c r="L16" s="130">
        <v>2.9120358108833595</v>
      </c>
      <c r="M16" s="130">
        <v>13.57383668314732</v>
      </c>
      <c r="N16" s="130">
        <v>72.66441050602552</v>
      </c>
      <c r="O16" s="130">
        <v>51.48696563607267</v>
      </c>
      <c r="P16" s="130">
        <v>39.032262517703494</v>
      </c>
      <c r="Q16" s="130">
        <v>47.1071381459534</v>
      </c>
      <c r="R16" s="130">
        <v>33.08702852497406</v>
      </c>
      <c r="S16" s="130">
        <v>52.762325457734065</v>
      </c>
      <c r="T16" s="130">
        <v>65.04381106742407</v>
      </c>
      <c r="U16" s="130">
        <v>68.81612921368422</v>
      </c>
    </row>
    <row r="17" spans="1:21" ht="13.5" thickBot="1">
      <c r="A17" s="136" t="s">
        <v>910</v>
      </c>
      <c r="B17" s="130">
        <v>16.33810474879638</v>
      </c>
      <c r="C17" s="130">
        <v>0.14989679745572992</v>
      </c>
      <c r="D17" s="130">
        <v>58.198461193172456</v>
      </c>
      <c r="E17" s="130">
        <v>59.50177132533347</v>
      </c>
      <c r="F17" s="130">
        <v>33.10114682768953</v>
      </c>
      <c r="G17" s="130">
        <v>47.13669337314593</v>
      </c>
      <c r="H17" s="130">
        <v>35.18241513833002</v>
      </c>
      <c r="I17" s="130">
        <v>21.558965247490832</v>
      </c>
      <c r="J17" s="130">
        <v>46.67912650895017</v>
      </c>
      <c r="K17" s="130">
        <v>47.43166226103496</v>
      </c>
      <c r="L17" s="130">
        <v>76.89169201822244</v>
      </c>
      <c r="M17" s="130">
        <v>90.5095090064065</v>
      </c>
      <c r="N17" s="130">
        <v>100.71652290843275</v>
      </c>
      <c r="O17" s="130">
        <v>74.67164630872827</v>
      </c>
      <c r="P17" s="130">
        <v>21.288682554209725</v>
      </c>
      <c r="Q17" s="130">
        <v>35.79995705148198</v>
      </c>
      <c r="R17" s="130">
        <v>21.75194520996201</v>
      </c>
      <c r="S17" s="130">
        <v>29.593896708814164</v>
      </c>
      <c r="T17" s="130">
        <v>27.36636824263868</v>
      </c>
      <c r="U17" s="130">
        <v>19.99202384665334</v>
      </c>
    </row>
    <row r="18" spans="1:21" ht="13.5" thickBot="1">
      <c r="A18" s="136" t="s">
        <v>911</v>
      </c>
      <c r="B18" s="130">
        <v>136.2325847882283</v>
      </c>
      <c r="C18" s="130">
        <v>74.5104439929835</v>
      </c>
      <c r="D18" s="130">
        <v>105.3108527695668</v>
      </c>
      <c r="E18" s="130">
        <v>83.43712207539743</v>
      </c>
      <c r="F18" s="130">
        <v>29.506089997596927</v>
      </c>
      <c r="G18" s="130">
        <v>10.026824417255078</v>
      </c>
      <c r="H18" s="130">
        <v>30.17387298487087</v>
      </c>
      <c r="I18" s="130">
        <v>44.69272124877929</v>
      </c>
      <c r="J18" s="130">
        <v>166.39657587827165</v>
      </c>
      <c r="K18" s="130">
        <v>140.46370594581327</v>
      </c>
      <c r="L18" s="130">
        <v>179.6701773671536</v>
      </c>
      <c r="M18" s="130">
        <v>286.4855207252164</v>
      </c>
      <c r="N18" s="130">
        <v>58.5810019275704</v>
      </c>
      <c r="O18" s="130">
        <v>377.7620294197348</v>
      </c>
      <c r="P18" s="130">
        <v>355.3314730830389</v>
      </c>
      <c r="Q18" s="130">
        <v>439.804828640526</v>
      </c>
      <c r="R18" s="130">
        <v>922.7776049043116</v>
      </c>
      <c r="S18" s="130">
        <v>466.53308569763226</v>
      </c>
      <c r="T18" s="130">
        <v>596.6812156475767</v>
      </c>
      <c r="U18" s="130">
        <v>338.94922769361347</v>
      </c>
    </row>
    <row r="19" spans="1:21" ht="13.5" thickBot="1">
      <c r="A19" s="136" t="s">
        <v>912</v>
      </c>
      <c r="B19" s="130">
        <v>166.16720749131616</v>
      </c>
      <c r="C19" s="130">
        <v>139.63213873004528</v>
      </c>
      <c r="D19" s="130">
        <v>89.88738260449341</v>
      </c>
      <c r="E19" s="130">
        <v>102.31350606057063</v>
      </c>
      <c r="F19" s="130">
        <v>108.25281082713289</v>
      </c>
      <c r="G19" s="130">
        <v>56.432796306427456</v>
      </c>
      <c r="H19" s="130">
        <v>46.35741194275576</v>
      </c>
      <c r="I19" s="130">
        <v>312.0810914036496</v>
      </c>
      <c r="J19" s="130">
        <v>72.40630422889515</v>
      </c>
      <c r="K19" s="130">
        <v>56.46332145431862</v>
      </c>
      <c r="L19" s="130">
        <v>51.786204833753466</v>
      </c>
      <c r="M19" s="130">
        <v>63.478473077926</v>
      </c>
      <c r="N19" s="130">
        <v>6.2668503908826425</v>
      </c>
      <c r="O19" s="130">
        <v>6.394397774857734</v>
      </c>
      <c r="P19" s="130">
        <v>1.5888206030176448</v>
      </c>
      <c r="Q19" s="130">
        <v>19.974142946984145</v>
      </c>
      <c r="R19" s="130">
        <v>0.7849690412765937</v>
      </c>
      <c r="S19" s="130">
        <v>4.9296119805913605</v>
      </c>
      <c r="T19" s="130">
        <v>3.6236907093152264</v>
      </c>
      <c r="U19" s="130">
        <v>118.44962854644831</v>
      </c>
    </row>
    <row r="20" spans="1:21" ht="13.5" thickBot="1">
      <c r="A20" s="137" t="s">
        <v>913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</row>
    <row r="21" spans="1:21" ht="13.5" thickBot="1">
      <c r="A21" s="136" t="s">
        <v>914</v>
      </c>
      <c r="B21" s="130">
        <v>81.8</v>
      </c>
      <c r="C21" s="130">
        <v>105.2</v>
      </c>
      <c r="D21" s="130">
        <v>148.4</v>
      </c>
      <c r="E21" s="130">
        <v>176.2</v>
      </c>
      <c r="F21" s="130">
        <v>157.3</v>
      </c>
      <c r="G21" s="130">
        <v>236.8</v>
      </c>
      <c r="H21" s="130">
        <v>278.3</v>
      </c>
      <c r="I21" s="130">
        <v>208.7</v>
      </c>
      <c r="J21" s="130">
        <v>312.7</v>
      </c>
      <c r="K21" s="130">
        <v>449.7</v>
      </c>
      <c r="L21" s="130">
        <v>590.3</v>
      </c>
      <c r="M21" s="130">
        <v>997.8</v>
      </c>
      <c r="N21" s="130">
        <v>1118.4</v>
      </c>
      <c r="O21" s="130">
        <v>904.1</v>
      </c>
      <c r="P21" s="130">
        <v>722.9</v>
      </c>
      <c r="Q21" s="130">
        <v>998.3</v>
      </c>
      <c r="R21" s="130">
        <v>1489.1</v>
      </c>
      <c r="S21" s="130">
        <v>1381.4</v>
      </c>
      <c r="T21" s="130">
        <v>1607.6</v>
      </c>
      <c r="U21" s="130">
        <f>328+312.6+386.2</f>
        <v>1026.8</v>
      </c>
    </row>
    <row r="22" spans="1:21" ht="13.5" thickBot="1">
      <c r="A22" s="136" t="s">
        <v>915</v>
      </c>
      <c r="B22" s="130">
        <v>71.7</v>
      </c>
      <c r="C22" s="130">
        <v>73.5</v>
      </c>
      <c r="D22" s="130">
        <v>83.7</v>
      </c>
      <c r="E22" s="130">
        <v>106.8</v>
      </c>
      <c r="F22" s="130">
        <v>85.6</v>
      </c>
      <c r="G22" s="130">
        <v>144.1</v>
      </c>
      <c r="H22" s="130">
        <v>164.7</v>
      </c>
      <c r="I22" s="130">
        <v>166.5</v>
      </c>
      <c r="J22" s="130">
        <v>248</v>
      </c>
      <c r="K22" s="130">
        <v>458.6</v>
      </c>
      <c r="L22" s="130">
        <v>585.1</v>
      </c>
      <c r="M22" s="130">
        <v>802.1</v>
      </c>
      <c r="N22" s="130">
        <v>1072.2</v>
      </c>
      <c r="O22" s="130">
        <v>1333.5</v>
      </c>
      <c r="P22" s="130">
        <v>503.7</v>
      </c>
      <c r="Q22" s="130">
        <v>636</v>
      </c>
      <c r="R22" s="130">
        <v>960.7</v>
      </c>
      <c r="S22" s="130">
        <v>823.1</v>
      </c>
      <c r="T22" s="130">
        <v>822.2</v>
      </c>
      <c r="U22" s="130">
        <f>183.3+214.4+175.5</f>
        <v>573.2</v>
      </c>
    </row>
    <row r="23" spans="1:21" ht="13.5" thickBot="1">
      <c r="A23" s="136" t="s">
        <v>916</v>
      </c>
      <c r="B23" s="130">
        <v>36.1</v>
      </c>
      <c r="C23" s="130">
        <v>30.3</v>
      </c>
      <c r="D23" s="130">
        <v>40.4</v>
      </c>
      <c r="E23" s="130">
        <v>35.9</v>
      </c>
      <c r="F23" s="130">
        <v>35.6</v>
      </c>
      <c r="G23" s="130">
        <v>69.7</v>
      </c>
      <c r="H23" s="130">
        <v>90.5</v>
      </c>
      <c r="I23" s="130">
        <v>83.1</v>
      </c>
      <c r="J23" s="130">
        <v>96.2</v>
      </c>
      <c r="K23" s="130">
        <v>130.3</v>
      </c>
      <c r="L23" s="130">
        <v>202.3</v>
      </c>
      <c r="M23" s="130">
        <v>412.5</v>
      </c>
      <c r="N23" s="130">
        <v>519</v>
      </c>
      <c r="O23" s="130">
        <v>628.5</v>
      </c>
      <c r="P23" s="130">
        <v>303.5</v>
      </c>
      <c r="Q23" s="130">
        <v>517.2</v>
      </c>
      <c r="R23" s="130">
        <v>688.6</v>
      </c>
      <c r="S23" s="130">
        <v>718</v>
      </c>
      <c r="T23" s="130">
        <v>711.9</v>
      </c>
      <c r="U23" s="130">
        <f>178.4+157.3+163.3</f>
        <v>499.00000000000006</v>
      </c>
    </row>
    <row r="24" spans="1:21" ht="3.75" customHeight="1" thickBot="1">
      <c r="A24" s="136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ht="13.5" thickBot="1">
      <c r="A25" s="137" t="s">
        <v>917</v>
      </c>
      <c r="B25" s="128">
        <f>SUM(B29:B34)</f>
        <v>262.58921037952604</v>
      </c>
      <c r="C25" s="128">
        <f aca="true" t="shared" si="5" ref="C25:S25">SUM(C29:C34)</f>
        <v>249.3123394746819</v>
      </c>
      <c r="D25" s="128">
        <f t="shared" si="5"/>
        <v>345.3405537143991</v>
      </c>
      <c r="E25" s="128">
        <f t="shared" si="5"/>
        <v>251.6628630080301</v>
      </c>
      <c r="F25" s="128">
        <f t="shared" si="5"/>
        <v>346.4410766784434</v>
      </c>
      <c r="G25" s="128">
        <f t="shared" si="5"/>
        <v>767.076815980939</v>
      </c>
      <c r="H25" s="128">
        <f t="shared" si="5"/>
        <v>767.4338659290429</v>
      </c>
      <c r="I25" s="128">
        <f t="shared" si="5"/>
        <v>590.9554056334141</v>
      </c>
      <c r="J25" s="128">
        <f t="shared" si="5"/>
        <v>556.6077261316167</v>
      </c>
      <c r="K25" s="128">
        <f t="shared" si="5"/>
        <v>808.6294964286263</v>
      </c>
      <c r="L25" s="128">
        <f t="shared" si="5"/>
        <v>1221.8263410165557</v>
      </c>
      <c r="M25" s="128">
        <f t="shared" si="5"/>
        <v>1859.311689154988</v>
      </c>
      <c r="N25" s="128">
        <f t="shared" si="5"/>
        <v>1995.7992397089722</v>
      </c>
      <c r="O25" s="128">
        <f t="shared" si="5"/>
        <v>2500.893205953482</v>
      </c>
      <c r="P25" s="128">
        <f t="shared" si="5"/>
        <v>1513.2440329681006</v>
      </c>
      <c r="Q25" s="128">
        <f t="shared" si="5"/>
        <v>2113.5861455238955</v>
      </c>
      <c r="R25" s="128">
        <f t="shared" si="5"/>
        <v>2814.9448045075496</v>
      </c>
      <c r="S25" s="128">
        <f t="shared" si="5"/>
        <v>3481.306169247838</v>
      </c>
      <c r="T25" s="128">
        <f>SUM(T29:T34)</f>
        <v>3384.992851116918</v>
      </c>
      <c r="U25" s="128">
        <f>SUM(U29:U34)</f>
        <v>2179.2925693950906</v>
      </c>
    </row>
    <row r="26" spans="1:21" ht="13.5" thickBot="1">
      <c r="A26" s="136" t="s">
        <v>918</v>
      </c>
      <c r="B26" s="130">
        <v>220.5</v>
      </c>
      <c r="C26" s="130">
        <v>225</v>
      </c>
      <c r="D26" s="130">
        <v>235.7</v>
      </c>
      <c r="E26" s="130">
        <v>137.6</v>
      </c>
      <c r="F26" s="130">
        <v>272.4</v>
      </c>
      <c r="G26" s="130">
        <v>588.4</v>
      </c>
      <c r="H26" s="130">
        <v>506.6</v>
      </c>
      <c r="I26" s="130">
        <v>357.6</v>
      </c>
      <c r="J26" s="130">
        <v>385</v>
      </c>
      <c r="K26" s="130">
        <v>624.6</v>
      </c>
      <c r="L26" s="130">
        <v>975.6</v>
      </c>
      <c r="M26" s="130">
        <v>1589.2</v>
      </c>
      <c r="N26" s="130">
        <v>1721.9</v>
      </c>
      <c r="O26" s="130">
        <v>1981.2</v>
      </c>
      <c r="P26" s="130">
        <v>1190.8</v>
      </c>
      <c r="Q26" s="130">
        <v>1661.1</v>
      </c>
      <c r="R26" s="130">
        <v>2225.6</v>
      </c>
      <c r="S26" s="130">
        <v>2928.3</v>
      </c>
      <c r="T26" s="130">
        <v>2904</v>
      </c>
      <c r="U26" s="130">
        <f>378.2+720.2+688.8</f>
        <v>1787.2</v>
      </c>
    </row>
    <row r="27" spans="1:21" ht="13.5" thickBot="1">
      <c r="A27" s="136" t="s">
        <v>919</v>
      </c>
      <c r="B27" s="130">
        <v>42.1</v>
      </c>
      <c r="C27" s="130">
        <v>24.3</v>
      </c>
      <c r="D27" s="130">
        <v>109.6</v>
      </c>
      <c r="E27" s="130">
        <v>114.1</v>
      </c>
      <c r="F27" s="130">
        <v>74.1</v>
      </c>
      <c r="G27" s="130">
        <v>178.7</v>
      </c>
      <c r="H27" s="130">
        <v>260.9</v>
      </c>
      <c r="I27" s="130">
        <v>233.4</v>
      </c>
      <c r="J27" s="130">
        <v>171.6</v>
      </c>
      <c r="K27" s="130">
        <v>184</v>
      </c>
      <c r="L27" s="130">
        <v>246.3</v>
      </c>
      <c r="M27" s="130">
        <v>270.1</v>
      </c>
      <c r="N27" s="130">
        <v>273.9</v>
      </c>
      <c r="O27" s="130">
        <v>519.7</v>
      </c>
      <c r="P27" s="130">
        <v>322.4</v>
      </c>
      <c r="Q27" s="130">
        <v>452.5</v>
      </c>
      <c r="R27" s="130">
        <v>589.3</v>
      </c>
      <c r="S27" s="130">
        <v>553</v>
      </c>
      <c r="T27" s="130">
        <v>481</v>
      </c>
      <c r="U27" s="130">
        <f>114.2+113.4+164.5</f>
        <v>392.1</v>
      </c>
    </row>
    <row r="28" spans="1:21" ht="13.5" thickBot="1">
      <c r="A28" s="134" t="s">
        <v>907</v>
      </c>
      <c r="B28" s="136"/>
      <c r="C28" s="136"/>
      <c r="D28" s="136"/>
      <c r="E28" s="136"/>
      <c r="F28" s="136"/>
      <c r="G28" s="136"/>
      <c r="H28" s="138"/>
      <c r="I28" s="138"/>
      <c r="J28" s="138"/>
      <c r="K28" s="138"/>
      <c r="L28" s="138"/>
      <c r="M28" s="138"/>
      <c r="N28" s="138"/>
      <c r="O28" s="139"/>
      <c r="P28" s="139"/>
      <c r="Q28" s="139"/>
      <c r="R28" s="139"/>
      <c r="S28" s="139"/>
      <c r="T28" s="139"/>
      <c r="U28" s="139"/>
    </row>
    <row r="29" spans="1:21" ht="13.5" thickBot="1">
      <c r="A29" s="135" t="s">
        <v>1338</v>
      </c>
      <c r="B29" s="130">
        <v>63.443154011236835</v>
      </c>
      <c r="C29" s="130">
        <v>42.70194757398229</v>
      </c>
      <c r="D29" s="130">
        <v>95.86383138359031</v>
      </c>
      <c r="E29" s="130">
        <v>76.0884617141693</v>
      </c>
      <c r="F29" s="130">
        <v>99.02220694027596</v>
      </c>
      <c r="G29" s="130">
        <v>136.0178895916312</v>
      </c>
      <c r="H29" s="130">
        <v>246.45935229544486</v>
      </c>
      <c r="I29" s="130">
        <v>231.7187731040019</v>
      </c>
      <c r="J29" s="130">
        <v>191.2746736679568</v>
      </c>
      <c r="K29" s="130">
        <v>262.4085073856113</v>
      </c>
      <c r="L29" s="130">
        <v>472.0877814345009</v>
      </c>
      <c r="M29" s="130">
        <v>635.7272999187045</v>
      </c>
      <c r="N29" s="130">
        <v>624.5206306274063</v>
      </c>
      <c r="O29" s="130">
        <v>693.9409866910719</v>
      </c>
      <c r="P29" s="130">
        <v>514.313035897803</v>
      </c>
      <c r="Q29" s="130">
        <v>544.2491218561942</v>
      </c>
      <c r="R29" s="130">
        <v>675.4369975918156</v>
      </c>
      <c r="S29" s="130">
        <v>809.4052156884799</v>
      </c>
      <c r="T29" s="130">
        <v>783.988842588569</v>
      </c>
      <c r="U29" s="130">
        <v>488.21695495007225</v>
      </c>
    </row>
    <row r="30" spans="1:21" ht="13.5" thickBot="1">
      <c r="A30" s="136" t="s">
        <v>908</v>
      </c>
      <c r="B30" s="130">
        <v>19.730289027920307</v>
      </c>
      <c r="C30" s="130">
        <v>14.682892700692896</v>
      </c>
      <c r="D30" s="130">
        <v>34.88049981163953</v>
      </c>
      <c r="E30" s="130">
        <v>18.21623577222286</v>
      </c>
      <c r="F30" s="130">
        <v>11.926096848908138</v>
      </c>
      <c r="G30" s="130">
        <v>6.757769847072598</v>
      </c>
      <c r="H30" s="130">
        <v>16.53217764325121</v>
      </c>
      <c r="I30" s="130">
        <v>4.714159717357847</v>
      </c>
      <c r="J30" s="130">
        <v>11.766669393556699</v>
      </c>
      <c r="K30" s="130">
        <v>49.72507119739446</v>
      </c>
      <c r="L30" s="130">
        <v>29.928334773472123</v>
      </c>
      <c r="M30" s="130">
        <v>43.65178619818696</v>
      </c>
      <c r="N30" s="130">
        <v>125.6069888487241</v>
      </c>
      <c r="O30" s="130">
        <v>179.50331981818465</v>
      </c>
      <c r="P30" s="130">
        <v>114.45573950701238</v>
      </c>
      <c r="Q30" s="130">
        <v>473.6544832628603</v>
      </c>
      <c r="R30" s="130">
        <v>825.4596467995684</v>
      </c>
      <c r="S30" s="130">
        <v>882.9959592602628</v>
      </c>
      <c r="T30" s="130">
        <v>709.6380268223721</v>
      </c>
      <c r="U30" s="130">
        <v>192.1235061329461</v>
      </c>
    </row>
    <row r="31" spans="1:21" ht="13.5" thickBot="1">
      <c r="A31" s="136" t="s">
        <v>909</v>
      </c>
      <c r="B31" s="130">
        <v>102.76603364010471</v>
      </c>
      <c r="C31" s="130">
        <v>99.95141830893127</v>
      </c>
      <c r="D31" s="130">
        <v>118.43217670779742</v>
      </c>
      <c r="E31" s="130">
        <v>101.2191666233357</v>
      </c>
      <c r="F31" s="130">
        <v>182.11282320038038</v>
      </c>
      <c r="G31" s="130">
        <v>514.3526216491209</v>
      </c>
      <c r="H31" s="130">
        <v>334.72235163587834</v>
      </c>
      <c r="I31" s="130">
        <v>264.6933532055445</v>
      </c>
      <c r="J31" s="130">
        <v>215.60587678888248</v>
      </c>
      <c r="K31" s="130">
        <v>234.36826104518286</v>
      </c>
      <c r="L31" s="130">
        <v>314.68103055345796</v>
      </c>
      <c r="M31" s="130">
        <v>542.5772352402817</v>
      </c>
      <c r="N31" s="130">
        <v>576.8241022992792</v>
      </c>
      <c r="O31" s="130">
        <v>741.6505432476237</v>
      </c>
      <c r="P31" s="130">
        <v>357.11485200656494</v>
      </c>
      <c r="Q31" s="130">
        <v>465.08264982130356</v>
      </c>
      <c r="R31" s="130">
        <v>703.8334507600351</v>
      </c>
      <c r="S31" s="130">
        <v>925.7320886784638</v>
      </c>
      <c r="T31" s="130">
        <v>825.3836560437255</v>
      </c>
      <c r="U31" s="130">
        <v>621.8742912216297</v>
      </c>
    </row>
    <row r="32" spans="1:21" ht="13.5" thickBot="1">
      <c r="A32" s="136" t="s">
        <v>910</v>
      </c>
      <c r="B32" s="130">
        <v>6.977716148104294</v>
      </c>
      <c r="C32" s="130">
        <v>6.897815678212914</v>
      </c>
      <c r="D32" s="130">
        <v>4.761304325310552</v>
      </c>
      <c r="E32" s="130">
        <v>0.5741520168654838</v>
      </c>
      <c r="F32" s="130">
        <v>6.440749451639458</v>
      </c>
      <c r="G32" s="130">
        <v>17.956948712311398</v>
      </c>
      <c r="H32" s="130">
        <v>69.90465173353512</v>
      </c>
      <c r="I32" s="130">
        <v>24.24183134526007</v>
      </c>
      <c r="J32" s="130">
        <v>35.64107309940026</v>
      </c>
      <c r="K32" s="130">
        <v>49.94716872120787</v>
      </c>
      <c r="L32" s="130">
        <v>41.84663288731639</v>
      </c>
      <c r="M32" s="130">
        <v>78.05033310666059</v>
      </c>
      <c r="N32" s="130">
        <v>131.4353425399958</v>
      </c>
      <c r="O32" s="130">
        <v>74.83397023258667</v>
      </c>
      <c r="P32" s="130">
        <v>59.585715016131275</v>
      </c>
      <c r="Q32" s="130">
        <v>37.881074019725645</v>
      </c>
      <c r="R32" s="130">
        <v>50.250892459978644</v>
      </c>
      <c r="S32" s="130">
        <v>92.29254229662087</v>
      </c>
      <c r="T32" s="130">
        <v>27.0199582785825</v>
      </c>
      <c r="U32" s="130">
        <v>2.8363175736132487</v>
      </c>
    </row>
    <row r="33" spans="1:21" ht="13.5" thickBot="1">
      <c r="A33" s="136" t="s">
        <v>911</v>
      </c>
      <c r="B33" s="130">
        <v>50.8635261495975</v>
      </c>
      <c r="C33" s="130">
        <v>68.75996839655681</v>
      </c>
      <c r="D33" s="130">
        <v>72.19201681670687</v>
      </c>
      <c r="E33" s="130">
        <v>38.853348348554604</v>
      </c>
      <c r="F33" s="130">
        <v>28.22702944529944</v>
      </c>
      <c r="G33" s="130">
        <v>57.84747907537975</v>
      </c>
      <c r="H33" s="130">
        <v>47.2626966556398</v>
      </c>
      <c r="I33" s="130">
        <v>47.37551474310141</v>
      </c>
      <c r="J33" s="130">
        <v>67.04514349406645</v>
      </c>
      <c r="K33" s="130">
        <v>171.82156168992196</v>
      </c>
      <c r="L33" s="130">
        <v>245.0247536851363</v>
      </c>
      <c r="M33" s="130">
        <v>493.67666668370975</v>
      </c>
      <c r="N33" s="130">
        <v>488.71092221716594</v>
      </c>
      <c r="O33" s="130">
        <v>672.4808761497676</v>
      </c>
      <c r="P33" s="130">
        <v>375.3047570596627</v>
      </c>
      <c r="Q33" s="130">
        <v>468.14265810423205</v>
      </c>
      <c r="R33" s="130">
        <v>370.52762919067607</v>
      </c>
      <c r="S33" s="130">
        <v>472.30333515694093</v>
      </c>
      <c r="T33" s="130">
        <v>711.7576813935771</v>
      </c>
      <c r="U33" s="130">
        <v>685.120816737651</v>
      </c>
    </row>
    <row r="34" spans="1:21" ht="13.5" thickBot="1">
      <c r="A34" s="136" t="s">
        <v>912</v>
      </c>
      <c r="B34" s="130">
        <v>18.80849140256235</v>
      </c>
      <c r="C34" s="130">
        <v>16.318296816305722</v>
      </c>
      <c r="D34" s="130">
        <v>19.210724669354395</v>
      </c>
      <c r="E34" s="130">
        <v>16.71149853288213</v>
      </c>
      <c r="F34" s="130">
        <v>18.712170791939993</v>
      </c>
      <c r="G34" s="130">
        <v>34.14410710542327</v>
      </c>
      <c r="H34" s="130">
        <v>52.55263596529352</v>
      </c>
      <c r="I34" s="130">
        <v>18.211773518148306</v>
      </c>
      <c r="J34" s="130">
        <v>35.274289687754056</v>
      </c>
      <c r="K34" s="130">
        <v>40.35892638930787</v>
      </c>
      <c r="L34" s="130">
        <v>118.25780768267182</v>
      </c>
      <c r="M34" s="130">
        <v>65.62836800744442</v>
      </c>
      <c r="N34" s="130">
        <v>48.70125317640081</v>
      </c>
      <c r="O34" s="130">
        <v>138.48350981424767</v>
      </c>
      <c r="P34" s="130">
        <v>92.46993348092624</v>
      </c>
      <c r="Q34" s="130">
        <v>124.57615845957983</v>
      </c>
      <c r="R34" s="130">
        <v>189.43618770547542</v>
      </c>
      <c r="S34" s="130">
        <v>298.5770281670697</v>
      </c>
      <c r="T34" s="130">
        <v>327.20468599009115</v>
      </c>
      <c r="U34" s="130">
        <v>189.12068277917817</v>
      </c>
    </row>
    <row r="35" spans="1:21" ht="13.5" thickBot="1">
      <c r="A35" s="137" t="s">
        <v>920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</row>
    <row r="36" spans="1:21" ht="13.5" thickBot="1">
      <c r="A36" s="136" t="s">
        <v>915</v>
      </c>
      <c r="B36" s="130">
        <v>397.1</v>
      </c>
      <c r="C36" s="130">
        <v>292.1</v>
      </c>
      <c r="D36" s="130">
        <v>437.9</v>
      </c>
      <c r="E36" s="130">
        <v>354.7</v>
      </c>
      <c r="F36" s="130">
        <v>245.8</v>
      </c>
      <c r="G36" s="130">
        <v>419.6</v>
      </c>
      <c r="H36" s="130">
        <v>395.6</v>
      </c>
      <c r="I36" s="130">
        <v>393.2</v>
      </c>
      <c r="J36" s="130">
        <v>541.4</v>
      </c>
      <c r="K36" s="130">
        <v>805.3</v>
      </c>
      <c r="L36" s="130">
        <v>763.2</v>
      </c>
      <c r="M36" s="130">
        <v>885.5</v>
      </c>
      <c r="N36" s="130">
        <v>1013</v>
      </c>
      <c r="O36" s="130">
        <v>940.2</v>
      </c>
      <c r="P36" s="130">
        <v>437.7</v>
      </c>
      <c r="Q36" s="130">
        <v>658.7</v>
      </c>
      <c r="R36" s="130">
        <v>900.3</v>
      </c>
      <c r="S36" s="130">
        <v>720.4</v>
      </c>
      <c r="T36" s="130">
        <v>618</v>
      </c>
      <c r="U36" s="130">
        <f>143.3+152.6+146.7</f>
        <v>442.59999999999997</v>
      </c>
    </row>
    <row r="37" spans="1:21" ht="13.5" thickBot="1">
      <c r="A37" s="136" t="s">
        <v>916</v>
      </c>
      <c r="B37" s="130">
        <v>249.3</v>
      </c>
      <c r="C37" s="130">
        <v>288.2</v>
      </c>
      <c r="D37" s="130">
        <v>371.1</v>
      </c>
      <c r="E37" s="130">
        <v>271.1</v>
      </c>
      <c r="F37" s="130">
        <v>263.2</v>
      </c>
      <c r="G37" s="130">
        <v>535.6</v>
      </c>
      <c r="H37" s="130">
        <v>474.7</v>
      </c>
      <c r="I37" s="130">
        <v>470</v>
      </c>
      <c r="J37" s="130">
        <v>534.7</v>
      </c>
      <c r="K37" s="130">
        <v>746.6</v>
      </c>
      <c r="L37" s="130">
        <v>942.7</v>
      </c>
      <c r="M37" s="130">
        <v>1703.8</v>
      </c>
      <c r="N37" s="130">
        <v>1641.5</v>
      </c>
      <c r="O37" s="130">
        <v>1788</v>
      </c>
      <c r="P37" s="130">
        <v>1218.7</v>
      </c>
      <c r="Q37" s="130">
        <v>1784.5</v>
      </c>
      <c r="R37" s="130">
        <v>2485.6</v>
      </c>
      <c r="S37" s="130">
        <v>2291.9</v>
      </c>
      <c r="T37" s="130">
        <v>2407.5</v>
      </c>
      <c r="U37" s="130">
        <f>559.2+523.9+587.4</f>
        <v>1670.5</v>
      </c>
    </row>
    <row r="38" spans="1:21" ht="13.5" thickBot="1">
      <c r="A38" s="136" t="s">
        <v>921</v>
      </c>
      <c r="B38" s="130">
        <v>35.2</v>
      </c>
      <c r="C38" s="130">
        <v>37.4</v>
      </c>
      <c r="D38" s="130">
        <v>45.1</v>
      </c>
      <c r="E38" s="130">
        <v>22.1</v>
      </c>
      <c r="F38" s="130">
        <v>25</v>
      </c>
      <c r="G38" s="130">
        <v>35.8</v>
      </c>
      <c r="H38" s="130">
        <v>33.5</v>
      </c>
      <c r="I38" s="130">
        <v>28.6</v>
      </c>
      <c r="J38" s="130">
        <v>29.3</v>
      </c>
      <c r="K38" s="130">
        <v>22.8</v>
      </c>
      <c r="L38" s="130">
        <v>21.9</v>
      </c>
      <c r="M38" s="130">
        <v>19.8</v>
      </c>
      <c r="N38" s="130">
        <v>16.6</v>
      </c>
      <c r="O38" s="130">
        <v>18</v>
      </c>
      <c r="P38" s="130">
        <v>9.1</v>
      </c>
      <c r="Q38" s="130">
        <v>11.3</v>
      </c>
      <c r="R38" s="130">
        <v>13.6</v>
      </c>
      <c r="S38" s="130">
        <v>27.8</v>
      </c>
      <c r="T38" s="130">
        <v>22</v>
      </c>
      <c r="U38" s="130">
        <f>2.4+6.8+3.8</f>
        <v>13</v>
      </c>
    </row>
    <row r="39" spans="1:21" ht="13.5" thickBot="1">
      <c r="A39" s="136"/>
      <c r="B39" s="136"/>
      <c r="C39" s="136"/>
      <c r="D39" s="136"/>
      <c r="E39" s="136"/>
      <c r="F39" s="136"/>
      <c r="G39" s="136"/>
      <c r="H39" s="138"/>
      <c r="I39" s="138"/>
      <c r="J39" s="138"/>
      <c r="K39" s="138"/>
      <c r="L39" s="138"/>
      <c r="M39" s="138"/>
      <c r="N39" s="138"/>
      <c r="O39" s="139"/>
      <c r="P39" s="139"/>
      <c r="Q39" s="139"/>
      <c r="R39" s="139"/>
      <c r="S39" s="139"/>
      <c r="T39" s="139"/>
      <c r="U39" s="139"/>
    </row>
    <row r="41" ht="12.75">
      <c r="A41" s="158" t="s">
        <v>3080</v>
      </c>
    </row>
    <row r="42" ht="12.75">
      <c r="A42" s="162" t="s">
        <v>1339</v>
      </c>
    </row>
  </sheetData>
  <sheetProtection/>
  <mergeCells count="21">
    <mergeCell ref="T3:T4"/>
    <mergeCell ref="U3:U4"/>
    <mergeCell ref="D3:D4"/>
    <mergeCell ref="Q3:Q4"/>
    <mergeCell ref="F3:F4"/>
    <mergeCell ref="G3:G4"/>
    <mergeCell ref="S3:S4"/>
    <mergeCell ref="L3:L4"/>
    <mergeCell ref="M3:M4"/>
    <mergeCell ref="N3:N4"/>
    <mergeCell ref="O3:O4"/>
    <mergeCell ref="C3:C4"/>
    <mergeCell ref="R3:R4"/>
    <mergeCell ref="E3:E4"/>
    <mergeCell ref="P3:P4"/>
    <mergeCell ref="K3:K4"/>
    <mergeCell ref="A3:A4"/>
    <mergeCell ref="H3:H4"/>
    <mergeCell ref="I3:I4"/>
    <mergeCell ref="J3:J4"/>
    <mergeCell ref="B3:B4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9.140625" defaultRowHeight="12.75"/>
  <cols>
    <col min="1" max="1" width="25.7109375" style="142" customWidth="1"/>
    <col min="2" max="2" width="7.7109375" style="142" customWidth="1"/>
    <col min="3" max="3" width="6.7109375" style="142" customWidth="1"/>
    <col min="4" max="4" width="7.7109375" style="142" customWidth="1"/>
    <col min="5" max="5" width="6.7109375" style="142" customWidth="1"/>
    <col min="6" max="6" width="7.7109375" style="142" customWidth="1"/>
    <col min="7" max="7" width="6.7109375" style="142" customWidth="1"/>
    <col min="8" max="8" width="7.7109375" style="142" customWidth="1"/>
    <col min="9" max="9" width="6.7109375" style="142" customWidth="1"/>
    <col min="10" max="10" width="7.7109375" style="142" customWidth="1"/>
    <col min="11" max="11" width="6.7109375" style="142" customWidth="1"/>
    <col min="12" max="12" width="7.7109375" style="142" customWidth="1"/>
    <col min="13" max="13" width="6.7109375" style="142" customWidth="1"/>
    <col min="14" max="14" width="7.7109375" style="142" customWidth="1"/>
    <col min="15" max="15" width="6.7109375" style="142" customWidth="1"/>
    <col min="16" max="16" width="7.7109375" style="142" customWidth="1"/>
    <col min="17" max="17" width="6.7109375" style="142" customWidth="1"/>
    <col min="18" max="18" width="7.7109375" style="142" customWidth="1"/>
    <col min="19" max="19" width="6.7109375" style="142" customWidth="1"/>
    <col min="20" max="20" width="7.7109375" style="142" customWidth="1"/>
    <col min="21" max="21" width="6.7109375" style="142" customWidth="1"/>
    <col min="22" max="22" width="7.7109375" style="142" customWidth="1"/>
    <col min="23" max="23" width="6.7109375" style="142" customWidth="1"/>
    <col min="24" max="24" width="7.7109375" style="142" customWidth="1"/>
    <col min="25" max="25" width="6.7109375" style="142" customWidth="1"/>
    <col min="26" max="26" width="7.7109375" style="142" customWidth="1"/>
    <col min="27" max="27" width="6.7109375" style="142" customWidth="1"/>
    <col min="28" max="28" width="7.7109375" style="142" customWidth="1"/>
    <col min="29" max="29" width="6.7109375" style="142" customWidth="1"/>
    <col min="30" max="35" width="9.140625" style="142" customWidth="1"/>
    <col min="36" max="36" width="12.7109375" style="142" customWidth="1"/>
    <col min="37" max="37" width="9.57421875" style="142" bestFit="1" customWidth="1"/>
    <col min="38" max="16384" width="9.140625" style="142" customWidth="1"/>
  </cols>
  <sheetData>
    <row r="1" spans="1:29" ht="30" customHeight="1" thickBot="1">
      <c r="A1" s="140" t="s">
        <v>932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U1" s="122"/>
      <c r="W1" s="122"/>
      <c r="AC1" s="122" t="s">
        <v>2668</v>
      </c>
    </row>
    <row r="2" spans="1:29" ht="13.5" thickBot="1">
      <c r="A2" s="724" t="s">
        <v>2135</v>
      </c>
      <c r="B2" s="722">
        <v>2000</v>
      </c>
      <c r="C2" s="723"/>
      <c r="D2" s="722">
        <f>B2+1</f>
        <v>2001</v>
      </c>
      <c r="E2" s="723"/>
      <c r="F2" s="722">
        <f>D2+1</f>
        <v>2002</v>
      </c>
      <c r="G2" s="723"/>
      <c r="H2" s="722">
        <f>F2+1</f>
        <v>2003</v>
      </c>
      <c r="I2" s="723"/>
      <c r="J2" s="722">
        <f>H2+1</f>
        <v>2004</v>
      </c>
      <c r="K2" s="723"/>
      <c r="L2" s="722">
        <f>J2+1</f>
        <v>2005</v>
      </c>
      <c r="M2" s="723"/>
      <c r="N2" s="722">
        <f>L2+1</f>
        <v>2006</v>
      </c>
      <c r="O2" s="723"/>
      <c r="P2" s="722">
        <f>N2+1</f>
        <v>2007</v>
      </c>
      <c r="Q2" s="723"/>
      <c r="R2" s="722">
        <f>P2+1</f>
        <v>2008</v>
      </c>
      <c r="S2" s="723"/>
      <c r="T2" s="722">
        <f>R2+1</f>
        <v>2009</v>
      </c>
      <c r="U2" s="723"/>
      <c r="V2" s="722">
        <f>T2+1</f>
        <v>2010</v>
      </c>
      <c r="W2" s="723"/>
      <c r="X2" s="722">
        <f>V2+1</f>
        <v>2011</v>
      </c>
      <c r="Y2" s="723"/>
      <c r="Z2" s="722">
        <f>X2+1</f>
        <v>2012</v>
      </c>
      <c r="AA2" s="723"/>
      <c r="AB2" s="722">
        <f>Z2+1</f>
        <v>2013</v>
      </c>
      <c r="AC2" s="723"/>
    </row>
    <row r="3" spans="1:29" ht="13.5" thickBot="1">
      <c r="A3" s="725"/>
      <c r="B3" s="143" t="s">
        <v>933</v>
      </c>
      <c r="C3" s="144" t="s">
        <v>3031</v>
      </c>
      <c r="D3" s="143" t="s">
        <v>933</v>
      </c>
      <c r="E3" s="144" t="s">
        <v>3031</v>
      </c>
      <c r="F3" s="143" t="s">
        <v>933</v>
      </c>
      <c r="G3" s="144" t="s">
        <v>3031</v>
      </c>
      <c r="H3" s="143" t="s">
        <v>933</v>
      </c>
      <c r="I3" s="144" t="s">
        <v>3031</v>
      </c>
      <c r="J3" s="143" t="s">
        <v>933</v>
      </c>
      <c r="K3" s="144" t="s">
        <v>3031</v>
      </c>
      <c r="L3" s="143" t="s">
        <v>933</v>
      </c>
      <c r="M3" s="144" t="s">
        <v>3031</v>
      </c>
      <c r="N3" s="143" t="s">
        <v>933</v>
      </c>
      <c r="O3" s="144" t="s">
        <v>3031</v>
      </c>
      <c r="P3" s="143" t="s">
        <v>933</v>
      </c>
      <c r="Q3" s="144" t="s">
        <v>3031</v>
      </c>
      <c r="R3" s="143" t="s">
        <v>933</v>
      </c>
      <c r="S3" s="144" t="s">
        <v>3031</v>
      </c>
      <c r="T3" s="143" t="s">
        <v>933</v>
      </c>
      <c r="U3" s="144" t="s">
        <v>3031</v>
      </c>
      <c r="V3" s="143" t="s">
        <v>933</v>
      </c>
      <c r="W3" s="144" t="s">
        <v>3031</v>
      </c>
      <c r="X3" s="143" t="s">
        <v>933</v>
      </c>
      <c r="Y3" s="144" t="s">
        <v>3031</v>
      </c>
      <c r="Z3" s="143" t="s">
        <v>933</v>
      </c>
      <c r="AA3" s="144" t="s">
        <v>3031</v>
      </c>
      <c r="AB3" s="143" t="s">
        <v>933</v>
      </c>
      <c r="AC3" s="144" t="s">
        <v>3031</v>
      </c>
    </row>
    <row r="4" spans="1:36" ht="13.5" customHeight="1" thickBot="1">
      <c r="A4" s="160" t="s">
        <v>934</v>
      </c>
      <c r="B4" s="146">
        <f>5409.443</f>
        <v>5409.443</v>
      </c>
      <c r="C4" s="147">
        <v>1</v>
      </c>
      <c r="D4" s="146">
        <f>6694.291</f>
        <v>6694.291</v>
      </c>
      <c r="E4" s="147">
        <v>1</v>
      </c>
      <c r="F4" s="146">
        <f>7220.526</f>
        <v>7220.526</v>
      </c>
      <c r="G4" s="147">
        <v>1</v>
      </c>
      <c r="H4" s="146">
        <f>8503.058</f>
        <v>8503.058</v>
      </c>
      <c r="I4" s="147">
        <v>1</v>
      </c>
      <c r="J4" s="146">
        <f>9949.554</f>
        <v>9949.554</v>
      </c>
      <c r="K4" s="147">
        <v>1</v>
      </c>
      <c r="L4" s="146">
        <f>13262.517</f>
        <v>13262.517</v>
      </c>
      <c r="M4" s="147">
        <v>1</v>
      </c>
      <c r="N4" s="146">
        <f>17742.863</f>
        <v>17742.863</v>
      </c>
      <c r="O4" s="147">
        <v>1</v>
      </c>
      <c r="P4" s="146">
        <f>27446.562</f>
        <v>27446.562</v>
      </c>
      <c r="Q4" s="147">
        <v>1</v>
      </c>
      <c r="R4" s="146">
        <f>29424.189</f>
        <v>29424.189</v>
      </c>
      <c r="S4" s="147">
        <v>1</v>
      </c>
      <c r="T4" s="146">
        <f>21274.28</f>
        <v>21274.28</v>
      </c>
      <c r="U4" s="147">
        <v>1</v>
      </c>
      <c r="V4" s="440">
        <v>16218.269</v>
      </c>
      <c r="W4" s="147">
        <v>1</v>
      </c>
      <c r="X4" s="440">
        <v>17913.925</v>
      </c>
      <c r="Y4" s="147">
        <v>1</v>
      </c>
      <c r="Z4" s="441">
        <f>19091492/1000</f>
        <v>19091.492</v>
      </c>
      <c r="AA4" s="147">
        <v>1</v>
      </c>
      <c r="AB4" s="441">
        <f>18089215/1000</f>
        <v>18089.215</v>
      </c>
      <c r="AC4" s="147">
        <v>1</v>
      </c>
      <c r="AF4" s="148"/>
      <c r="AJ4" s="148"/>
    </row>
    <row r="5" spans="1:38" ht="13.5" thickBot="1">
      <c r="A5" s="157" t="s">
        <v>2969</v>
      </c>
      <c r="B5" s="150">
        <f>115.619</f>
        <v>115.619</v>
      </c>
      <c r="C5" s="151">
        <f>B5/B$4</f>
        <v>0.02137354992001949</v>
      </c>
      <c r="D5" s="150">
        <f>103.202</f>
        <v>103.202</v>
      </c>
      <c r="E5" s="151">
        <f>D5/D$4</f>
        <v>0.015416419752293409</v>
      </c>
      <c r="F5" s="150">
        <f>115.119</f>
        <v>115.119</v>
      </c>
      <c r="G5" s="151">
        <f>F5/F$4</f>
        <v>0.015943298313723958</v>
      </c>
      <c r="H5" s="150">
        <f>119.742</f>
        <v>119.742</v>
      </c>
      <c r="I5" s="151">
        <f>H5/H$4</f>
        <v>0.014082227829093956</v>
      </c>
      <c r="J5" s="150">
        <f>157.178</f>
        <v>157.178</v>
      </c>
      <c r="K5" s="151">
        <f>J5/J$4</f>
        <v>0.01579749202828589</v>
      </c>
      <c r="L5" s="150">
        <f>295.384</f>
        <v>295.384</v>
      </c>
      <c r="M5" s="151">
        <f>L5/L$4</f>
        <v>0.02227209209232305</v>
      </c>
      <c r="N5" s="150">
        <f>350.753</f>
        <v>350.753</v>
      </c>
      <c r="O5" s="151">
        <f>N5/N$4</f>
        <v>0.01976868107475101</v>
      </c>
      <c r="P5" s="150">
        <f>472.495</f>
        <v>472.495</v>
      </c>
      <c r="Q5" s="151">
        <f>P5/P$4</f>
        <v>0.017215088724044928</v>
      </c>
      <c r="R5" s="726">
        <v>9105.63</v>
      </c>
      <c r="S5" s="729">
        <f>R5/R$4</f>
        <v>0.3094606957561345</v>
      </c>
      <c r="T5" s="726">
        <v>6581.361</v>
      </c>
      <c r="U5" s="729">
        <f>T5/T$4</f>
        <v>0.3093576374852639</v>
      </c>
      <c r="V5" s="726">
        <v>5103.531</v>
      </c>
      <c r="W5" s="729">
        <f>V5/V$4</f>
        <v>0.3146779104477796</v>
      </c>
      <c r="X5" s="726">
        <v>5361.442</v>
      </c>
      <c r="Y5" s="729">
        <f>X5/X$4</f>
        <v>0.2992890726069245</v>
      </c>
      <c r="Z5" s="726">
        <f>7602323/1000</f>
        <v>7602.323</v>
      </c>
      <c r="AA5" s="729">
        <f>Z5/Z$4</f>
        <v>0.39820476052893095</v>
      </c>
      <c r="AB5" s="726">
        <f>5962956/1000</f>
        <v>5962.956</v>
      </c>
      <c r="AC5" s="729">
        <f>AB5/AB$4</f>
        <v>0.32964150185621655</v>
      </c>
      <c r="AF5" s="152"/>
      <c r="AG5" s="153"/>
      <c r="AH5" s="153"/>
      <c r="AJ5" s="152"/>
      <c r="AK5" s="153"/>
      <c r="AL5" s="153"/>
    </row>
    <row r="6" spans="1:38" ht="13.5" thickBot="1">
      <c r="A6" s="155" t="s">
        <v>927</v>
      </c>
      <c r="B6" s="150">
        <v>1290.594</v>
      </c>
      <c r="C6" s="151">
        <f aca="true" t="shared" si="0" ref="C6:E8">B6/B$4</f>
        <v>0.23858168022105047</v>
      </c>
      <c r="D6" s="150">
        <v>1549.317</v>
      </c>
      <c r="E6" s="151">
        <f t="shared" si="0"/>
        <v>0.23143854965372732</v>
      </c>
      <c r="F6" s="150">
        <v>1921.066</v>
      </c>
      <c r="G6" s="151">
        <f>F6/F$4</f>
        <v>0.26605624022405017</v>
      </c>
      <c r="H6" s="150">
        <v>2004.112</v>
      </c>
      <c r="I6" s="151">
        <f>H6/H$4</f>
        <v>0.235693088298351</v>
      </c>
      <c r="J6" s="150">
        <v>2086.358</v>
      </c>
      <c r="K6" s="151">
        <f>J6/J$4</f>
        <v>0.20969362043765982</v>
      </c>
      <c r="L6" s="150">
        <v>2705.8</v>
      </c>
      <c r="M6" s="151">
        <f>L6/L$4</f>
        <v>0.20401858862838781</v>
      </c>
      <c r="N6" s="150">
        <v>3648.165</v>
      </c>
      <c r="O6" s="151">
        <f>N6/N$4</f>
        <v>0.2056130963757089</v>
      </c>
      <c r="P6" s="150">
        <v>4769.227</v>
      </c>
      <c r="Q6" s="151">
        <f>P6/P$4</f>
        <v>0.17376409475255952</v>
      </c>
      <c r="R6" s="727"/>
      <c r="S6" s="730"/>
      <c r="T6" s="727"/>
      <c r="U6" s="730"/>
      <c r="V6" s="727"/>
      <c r="W6" s="730"/>
      <c r="X6" s="727"/>
      <c r="Y6" s="730"/>
      <c r="Z6" s="727"/>
      <c r="AA6" s="730"/>
      <c r="AB6" s="727"/>
      <c r="AC6" s="730"/>
      <c r="AF6" s="152"/>
      <c r="AG6" s="153"/>
      <c r="AH6" s="153"/>
      <c r="AJ6" s="152"/>
      <c r="AK6" s="153"/>
      <c r="AL6" s="153"/>
    </row>
    <row r="7" spans="1:38" ht="32.25" thickBot="1">
      <c r="A7" s="155" t="s">
        <v>928</v>
      </c>
      <c r="B7" s="150">
        <v>573.359</v>
      </c>
      <c r="C7" s="151">
        <f t="shared" si="0"/>
        <v>0.10599224356370887</v>
      </c>
      <c r="D7" s="150">
        <v>527.693</v>
      </c>
      <c r="E7" s="151">
        <f t="shared" si="0"/>
        <v>0.07882731718713751</v>
      </c>
      <c r="F7" s="150">
        <v>503.255</v>
      </c>
      <c r="G7" s="151">
        <f>F7/F$4</f>
        <v>0.06969783087824903</v>
      </c>
      <c r="H7" s="150">
        <v>1024.336</v>
      </c>
      <c r="I7" s="151">
        <f>H7/H$4</f>
        <v>0.12046677795212027</v>
      </c>
      <c r="J7" s="150">
        <v>1053.722</v>
      </c>
      <c r="K7" s="151">
        <f>J7/J$4</f>
        <v>0.10590645570645679</v>
      </c>
      <c r="L7" s="150">
        <v>1213.337</v>
      </c>
      <c r="M7" s="151">
        <f>L7/L$4</f>
        <v>0.09148617867935627</v>
      </c>
      <c r="N7" s="150">
        <v>1709.015</v>
      </c>
      <c r="O7" s="151">
        <f>N7/N$4</f>
        <v>0.09632126449942154</v>
      </c>
      <c r="P7" s="150">
        <v>2297.576</v>
      </c>
      <c r="Q7" s="151">
        <f>P7/P$4</f>
        <v>0.08371088517388808</v>
      </c>
      <c r="R7" s="728"/>
      <c r="S7" s="731"/>
      <c r="T7" s="728"/>
      <c r="U7" s="731"/>
      <c r="V7" s="728"/>
      <c r="W7" s="731"/>
      <c r="X7" s="728"/>
      <c r="Y7" s="731"/>
      <c r="Z7" s="728"/>
      <c r="AA7" s="731"/>
      <c r="AB7" s="728"/>
      <c r="AC7" s="731"/>
      <c r="AF7" s="152"/>
      <c r="AG7" s="153"/>
      <c r="AH7" s="153"/>
      <c r="AJ7" s="152"/>
      <c r="AK7" s="153"/>
      <c r="AL7" s="153"/>
    </row>
    <row r="8" spans="1:38" ht="13.5" thickBot="1">
      <c r="A8" s="156" t="s">
        <v>929</v>
      </c>
      <c r="B8" s="150">
        <v>343.113</v>
      </c>
      <c r="C8" s="151">
        <f t="shared" si="0"/>
        <v>0.06342852674480533</v>
      </c>
      <c r="D8" s="150">
        <v>419.245</v>
      </c>
      <c r="E8" s="151">
        <f t="shared" si="0"/>
        <v>0.06262724461783929</v>
      </c>
      <c r="F8" s="150">
        <v>409.892</v>
      </c>
      <c r="G8" s="151">
        <f>F8/F$4</f>
        <v>0.056767609451167406</v>
      </c>
      <c r="H8" s="150">
        <v>490.746</v>
      </c>
      <c r="I8" s="151">
        <f>H8/H$4</f>
        <v>0.057714060047573464</v>
      </c>
      <c r="J8" s="150">
        <v>762.644</v>
      </c>
      <c r="K8" s="151">
        <f>J8/J$4</f>
        <v>0.07665107400794045</v>
      </c>
      <c r="L8" s="150">
        <v>1106.864</v>
      </c>
      <c r="M8" s="151">
        <f>L8/L$4</f>
        <v>0.08345806455893705</v>
      </c>
      <c r="N8" s="150">
        <v>1755.812</v>
      </c>
      <c r="O8" s="151">
        <f>N8/N$4</f>
        <v>0.09895877570604021</v>
      </c>
      <c r="P8" s="150">
        <v>3631.362</v>
      </c>
      <c r="Q8" s="151">
        <f>P8/P$4</f>
        <v>0.13230662550741326</v>
      </c>
      <c r="R8" s="150">
        <v>3921.707</v>
      </c>
      <c r="S8" s="151">
        <f>R8/R$4</f>
        <v>0.1332817363292494</v>
      </c>
      <c r="T8" s="150">
        <v>2174.458</v>
      </c>
      <c r="U8" s="151">
        <f>T8/T$4</f>
        <v>0.1022106506072121</v>
      </c>
      <c r="V8" s="150">
        <v>1369.398</v>
      </c>
      <c r="W8" s="595">
        <f>V8/V$4</f>
        <v>0.08443552144806575</v>
      </c>
      <c r="X8" s="150">
        <v>1146.482</v>
      </c>
      <c r="Y8" s="595">
        <f>X8/X$4</f>
        <v>0.06399948643304022</v>
      </c>
      <c r="Z8" s="511">
        <f>1088400/1000</f>
        <v>1088.4</v>
      </c>
      <c r="AA8" s="595">
        <f>Z8/Z$4</f>
        <v>0.057009687875625444</v>
      </c>
      <c r="AB8" s="440">
        <f>1299871/1000</f>
        <v>1299.871</v>
      </c>
      <c r="AC8" s="595">
        <f>AB8/AB$4</f>
        <v>0.0718588949271707</v>
      </c>
      <c r="AF8" s="152"/>
      <c r="AG8" s="153"/>
      <c r="AH8" s="153"/>
      <c r="AJ8" s="152"/>
      <c r="AK8" s="153"/>
      <c r="AL8" s="153"/>
    </row>
    <row r="10" ht="12.75">
      <c r="A10" s="158" t="s">
        <v>3080</v>
      </c>
    </row>
    <row r="11" ht="12.75">
      <c r="A11" s="162" t="s">
        <v>935</v>
      </c>
    </row>
    <row r="12" ht="12.75">
      <c r="A12" s="162"/>
    </row>
  </sheetData>
  <sheetProtection/>
  <mergeCells count="27">
    <mergeCell ref="AB2:AC2"/>
    <mergeCell ref="AB5:AB7"/>
    <mergeCell ref="AC5:AC7"/>
    <mergeCell ref="X2:Y2"/>
    <mergeCell ref="X5:X7"/>
    <mergeCell ref="Y5:Y7"/>
    <mergeCell ref="Z2:AA2"/>
    <mergeCell ref="Z5:Z7"/>
    <mergeCell ref="AA5:AA7"/>
    <mergeCell ref="R5:R7"/>
    <mergeCell ref="S5:S7"/>
    <mergeCell ref="T5:T7"/>
    <mergeCell ref="U5:U7"/>
    <mergeCell ref="V5:V7"/>
    <mergeCell ref="W5:W7"/>
    <mergeCell ref="A2:A3"/>
    <mergeCell ref="B2:C2"/>
    <mergeCell ref="D2:E2"/>
    <mergeCell ref="F2:G2"/>
    <mergeCell ref="H2:I2"/>
    <mergeCell ref="R2:S2"/>
    <mergeCell ref="T2:U2"/>
    <mergeCell ref="V2:W2"/>
    <mergeCell ref="J2:K2"/>
    <mergeCell ref="L2:M2"/>
    <mergeCell ref="N2:O2"/>
    <mergeCell ref="P2:Q2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9.140625" defaultRowHeight="12.75"/>
  <cols>
    <col min="1" max="1" width="25.7109375" style="142" customWidth="1"/>
    <col min="2" max="2" width="7.7109375" style="142" customWidth="1"/>
    <col min="3" max="3" width="6.7109375" style="142" customWidth="1"/>
    <col min="4" max="4" width="7.7109375" style="142" customWidth="1"/>
    <col min="5" max="5" width="6.7109375" style="142" customWidth="1"/>
    <col min="6" max="6" width="7.7109375" style="142" customWidth="1"/>
    <col min="7" max="7" width="6.7109375" style="142" customWidth="1"/>
    <col min="8" max="8" width="7.7109375" style="142" customWidth="1"/>
    <col min="9" max="9" width="6.7109375" style="142" customWidth="1"/>
    <col min="10" max="10" width="7.7109375" style="142" customWidth="1"/>
    <col min="11" max="11" width="6.7109375" style="142" customWidth="1"/>
    <col min="12" max="12" width="7.7109375" style="142" customWidth="1"/>
    <col min="13" max="13" width="6.7109375" style="142" customWidth="1"/>
    <col min="14" max="14" width="7.7109375" style="142" customWidth="1"/>
    <col min="15" max="15" width="6.7109375" style="142" customWidth="1"/>
    <col min="16" max="16" width="7.7109375" style="142" customWidth="1"/>
    <col min="17" max="17" width="6.7109375" style="142" customWidth="1"/>
    <col min="18" max="18" width="7.7109375" style="142" customWidth="1"/>
    <col min="19" max="19" width="6.7109375" style="142" customWidth="1"/>
    <col min="20" max="20" width="7.7109375" style="142" customWidth="1"/>
    <col min="21" max="21" width="6.7109375" style="142" customWidth="1"/>
    <col min="22" max="22" width="7.7109375" style="142" customWidth="1"/>
    <col min="23" max="23" width="6.7109375" style="142" customWidth="1"/>
    <col min="24" max="24" width="7.7109375" style="142" customWidth="1"/>
    <col min="25" max="25" width="6.7109375" style="142" customWidth="1"/>
    <col min="26" max="26" width="7.7109375" style="142" customWidth="1"/>
    <col min="27" max="27" width="6.7109375" style="142" customWidth="1"/>
    <col min="28" max="28" width="7.7109375" style="142" customWidth="1"/>
    <col min="29" max="29" width="6.7109375" style="142" customWidth="1"/>
    <col min="30" max="16384" width="9.140625" style="142" customWidth="1"/>
  </cols>
  <sheetData>
    <row r="1" spans="1:29" ht="30" customHeight="1" thickBot="1">
      <c r="A1" s="140" t="s">
        <v>923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AC1" s="122" t="s">
        <v>2669</v>
      </c>
    </row>
    <row r="2" spans="1:29" ht="13.5" thickBot="1">
      <c r="A2" s="724" t="s">
        <v>2135</v>
      </c>
      <c r="B2" s="722">
        <v>2000</v>
      </c>
      <c r="C2" s="723"/>
      <c r="D2" s="722">
        <f>B2+1</f>
        <v>2001</v>
      </c>
      <c r="E2" s="723"/>
      <c r="F2" s="722">
        <f>D2+1</f>
        <v>2002</v>
      </c>
      <c r="G2" s="723"/>
      <c r="H2" s="722">
        <f>F2+1</f>
        <v>2003</v>
      </c>
      <c r="I2" s="723"/>
      <c r="J2" s="722">
        <f>H2+1</f>
        <v>2004</v>
      </c>
      <c r="K2" s="723"/>
      <c r="L2" s="722">
        <f>J2+1</f>
        <v>2005</v>
      </c>
      <c r="M2" s="723"/>
      <c r="N2" s="722">
        <f>L2+1</f>
        <v>2006</v>
      </c>
      <c r="O2" s="723"/>
      <c r="P2" s="722">
        <f>N2+1</f>
        <v>2007</v>
      </c>
      <c r="Q2" s="723"/>
      <c r="R2" s="722">
        <f>P2+1</f>
        <v>2008</v>
      </c>
      <c r="S2" s="723"/>
      <c r="T2" s="722">
        <f>R2+1</f>
        <v>2009</v>
      </c>
      <c r="U2" s="723"/>
      <c r="V2" s="722">
        <f>T2+1</f>
        <v>2010</v>
      </c>
      <c r="W2" s="723"/>
      <c r="X2" s="722">
        <f>V2+1</f>
        <v>2011</v>
      </c>
      <c r="Y2" s="723"/>
      <c r="Z2" s="722">
        <f>X2+1</f>
        <v>2012</v>
      </c>
      <c r="AA2" s="723"/>
      <c r="AB2" s="722">
        <f>Z2+1</f>
        <v>2013</v>
      </c>
      <c r="AC2" s="723"/>
    </row>
    <row r="3" spans="1:29" ht="13.5" thickBot="1">
      <c r="A3" s="725"/>
      <c r="B3" s="143" t="s">
        <v>924</v>
      </c>
      <c r="C3" s="144" t="s">
        <v>3031</v>
      </c>
      <c r="D3" s="143" t="s">
        <v>924</v>
      </c>
      <c r="E3" s="144" t="s">
        <v>3031</v>
      </c>
      <c r="F3" s="143" t="s">
        <v>924</v>
      </c>
      <c r="G3" s="144" t="s">
        <v>3031</v>
      </c>
      <c r="H3" s="143" t="s">
        <v>924</v>
      </c>
      <c r="I3" s="144" t="s">
        <v>3031</v>
      </c>
      <c r="J3" s="143" t="s">
        <v>924</v>
      </c>
      <c r="K3" s="144" t="s">
        <v>3031</v>
      </c>
      <c r="L3" s="143" t="s">
        <v>924</v>
      </c>
      <c r="M3" s="144" t="s">
        <v>3031</v>
      </c>
      <c r="N3" s="143" t="s">
        <v>924</v>
      </c>
      <c r="O3" s="144" t="s">
        <v>3031</v>
      </c>
      <c r="P3" s="143" t="s">
        <v>924</v>
      </c>
      <c r="Q3" s="144" t="s">
        <v>3031</v>
      </c>
      <c r="R3" s="143" t="s">
        <v>924</v>
      </c>
      <c r="S3" s="144" t="s">
        <v>3031</v>
      </c>
      <c r="T3" s="143" t="s">
        <v>924</v>
      </c>
      <c r="U3" s="144" t="s">
        <v>3031</v>
      </c>
      <c r="V3" s="143" t="s">
        <v>924</v>
      </c>
      <c r="W3" s="144" t="s">
        <v>3031</v>
      </c>
      <c r="X3" s="143" t="s">
        <v>924</v>
      </c>
      <c r="Y3" s="144" t="s">
        <v>3031</v>
      </c>
      <c r="Z3" s="143" t="s">
        <v>924</v>
      </c>
      <c r="AA3" s="144" t="s">
        <v>3031</v>
      </c>
      <c r="AB3" s="143" t="s">
        <v>924</v>
      </c>
      <c r="AC3" s="144" t="s">
        <v>3031</v>
      </c>
    </row>
    <row r="4" spans="1:33" ht="25.5" customHeight="1" thickBot="1">
      <c r="A4" s="145" t="s">
        <v>2666</v>
      </c>
      <c r="B4" s="146">
        <v>2905.6</v>
      </c>
      <c r="C4" s="147">
        <v>1</v>
      </c>
      <c r="D4" s="146">
        <v>3342.1</v>
      </c>
      <c r="E4" s="147">
        <v>1</v>
      </c>
      <c r="F4" s="146">
        <v>3926.6</v>
      </c>
      <c r="G4" s="147">
        <v>1</v>
      </c>
      <c r="H4" s="146">
        <v>5044.6</v>
      </c>
      <c r="I4" s="147">
        <v>1</v>
      </c>
      <c r="J4" s="146">
        <v>7420.7</v>
      </c>
      <c r="K4" s="147">
        <v>1</v>
      </c>
      <c r="L4" s="146">
        <v>11756.5</v>
      </c>
      <c r="M4" s="147">
        <v>1</v>
      </c>
      <c r="N4" s="146">
        <v>17830.4</v>
      </c>
      <c r="O4" s="147">
        <v>1</v>
      </c>
      <c r="P4" s="146">
        <v>25769.7</v>
      </c>
      <c r="Q4" s="147">
        <v>1</v>
      </c>
      <c r="R4" s="146">
        <v>31658.2</v>
      </c>
      <c r="S4" s="147">
        <v>1</v>
      </c>
      <c r="T4" s="146">
        <v>34170</v>
      </c>
      <c r="U4" s="147">
        <v>1</v>
      </c>
      <c r="V4" s="146">
        <v>35374.3</v>
      </c>
      <c r="W4" s="147">
        <v>1</v>
      </c>
      <c r="X4" s="146">
        <v>36619</v>
      </c>
      <c r="Y4" s="147">
        <v>1</v>
      </c>
      <c r="Z4" s="146">
        <v>37441</v>
      </c>
      <c r="AA4" s="147">
        <v>1</v>
      </c>
      <c r="AB4" s="146">
        <v>38311.9</v>
      </c>
      <c r="AC4" s="147">
        <v>1</v>
      </c>
      <c r="AE4" s="153"/>
      <c r="AF4" s="153"/>
      <c r="AG4" s="153"/>
    </row>
    <row r="5" spans="1:33" ht="25.5" customHeight="1" thickBot="1">
      <c r="A5" s="149" t="s">
        <v>925</v>
      </c>
      <c r="B5" s="150">
        <v>2279.6</v>
      </c>
      <c r="C5" s="151">
        <f aca="true" t="shared" si="0" ref="C5:E6">B5/B$4</f>
        <v>0.7845539647577092</v>
      </c>
      <c r="D5" s="150">
        <v>2612.9</v>
      </c>
      <c r="E5" s="151">
        <f t="shared" si="0"/>
        <v>0.7818138296280782</v>
      </c>
      <c r="F5" s="150">
        <v>3128.9</v>
      </c>
      <c r="G5" s="151">
        <f aca="true" t="shared" si="1" ref="G5:G10">F5/F$4</f>
        <v>0.7968471451128203</v>
      </c>
      <c r="H5" s="150">
        <v>3767.4</v>
      </c>
      <c r="I5" s="151">
        <f aca="true" t="shared" si="2" ref="I5:I10">H5/H$4</f>
        <v>0.7468183800499544</v>
      </c>
      <c r="J5" s="150">
        <v>5818</v>
      </c>
      <c r="K5" s="151">
        <f aca="true" t="shared" si="3" ref="K5:K10">J5/J$4</f>
        <v>0.7840230705998087</v>
      </c>
      <c r="L5" s="150">
        <v>7919.5</v>
      </c>
      <c r="M5" s="151">
        <f aca="true" t="shared" si="4" ref="M5:M10">L5/L$4</f>
        <v>0.6736273550801685</v>
      </c>
      <c r="N5" s="150">
        <v>11890.1</v>
      </c>
      <c r="O5" s="151">
        <f aca="true" t="shared" si="5" ref="O5:O10">N5/N$4</f>
        <v>0.6668442659727207</v>
      </c>
      <c r="P5" s="150">
        <v>15751</v>
      </c>
      <c r="Q5" s="151">
        <f aca="true" t="shared" si="6" ref="Q5:Q10">P5/P$4</f>
        <v>0.611221706112217</v>
      </c>
      <c r="R5" s="150">
        <v>18983.6</v>
      </c>
      <c r="S5" s="151">
        <f aca="true" t="shared" si="7" ref="S5:S10">R5/R$4</f>
        <v>0.5996424307130538</v>
      </c>
      <c r="T5" s="150">
        <v>20673.7</v>
      </c>
      <c r="U5" s="151">
        <f aca="true" t="shared" si="8" ref="U5:U10">T5/T$4</f>
        <v>0.6050248756218906</v>
      </c>
      <c r="V5" s="150">
        <v>21921.6</v>
      </c>
      <c r="W5" s="151">
        <f aca="true" t="shared" si="9" ref="W5:Y10">V5/V$4</f>
        <v>0.6197041354881934</v>
      </c>
      <c r="X5" s="150">
        <v>22855.6</v>
      </c>
      <c r="Y5" s="151">
        <f t="shared" si="9"/>
        <v>0.6241459351702667</v>
      </c>
      <c r="Z5" s="150">
        <v>23470.8</v>
      </c>
      <c r="AA5" s="151">
        <f aca="true" t="shared" si="10" ref="AA5:AC10">Z5/Z$4</f>
        <v>0.626874282204001</v>
      </c>
      <c r="AB5" s="150">
        <v>24549.4</v>
      </c>
      <c r="AC5" s="151">
        <f t="shared" si="10"/>
        <v>0.6407774085858441</v>
      </c>
      <c r="AE5" s="153"/>
      <c r="AF5" s="153"/>
      <c r="AG5" s="153"/>
    </row>
    <row r="6" spans="1:33" ht="12.75" customHeight="1" thickBot="1">
      <c r="A6" s="149" t="s">
        <v>926</v>
      </c>
      <c r="B6" s="150">
        <v>626</v>
      </c>
      <c r="C6" s="151">
        <f t="shared" si="0"/>
        <v>0.21544603524229075</v>
      </c>
      <c r="D6" s="150">
        <v>727.1</v>
      </c>
      <c r="E6" s="151">
        <f t="shared" si="0"/>
        <v>0.2175578229257054</v>
      </c>
      <c r="F6" s="150">
        <v>797.7</v>
      </c>
      <c r="G6" s="151">
        <f t="shared" si="1"/>
        <v>0.20315285488717977</v>
      </c>
      <c r="H6" s="150">
        <v>1277.2</v>
      </c>
      <c r="I6" s="151">
        <f t="shared" si="2"/>
        <v>0.25318161995004557</v>
      </c>
      <c r="J6" s="150">
        <v>1602.7</v>
      </c>
      <c r="K6" s="151">
        <f t="shared" si="3"/>
        <v>0.21597692940019136</v>
      </c>
      <c r="L6" s="150">
        <v>3837</v>
      </c>
      <c r="M6" s="151">
        <f t="shared" si="4"/>
        <v>0.3263726449198316</v>
      </c>
      <c r="N6" s="150">
        <v>5940.3</v>
      </c>
      <c r="O6" s="151">
        <f t="shared" si="5"/>
        <v>0.3331557340272792</v>
      </c>
      <c r="P6" s="150">
        <v>10018.7</v>
      </c>
      <c r="Q6" s="151">
        <f t="shared" si="6"/>
        <v>0.38877829388778296</v>
      </c>
      <c r="R6" s="150">
        <v>12674.6</v>
      </c>
      <c r="S6" s="151">
        <f t="shared" si="7"/>
        <v>0.4003575692869462</v>
      </c>
      <c r="T6" s="150">
        <v>13496.3</v>
      </c>
      <c r="U6" s="151">
        <f t="shared" si="8"/>
        <v>0.39497512437810944</v>
      </c>
      <c r="V6" s="150">
        <v>13425.6</v>
      </c>
      <c r="W6" s="151">
        <f t="shared" si="9"/>
        <v>0.37952977161385526</v>
      </c>
      <c r="X6" s="150">
        <v>13763.4</v>
      </c>
      <c r="Y6" s="151">
        <f t="shared" si="9"/>
        <v>0.3758540648297332</v>
      </c>
      <c r="Z6" s="150">
        <v>13970.1</v>
      </c>
      <c r="AA6" s="151">
        <f t="shared" si="10"/>
        <v>0.3731230469271654</v>
      </c>
      <c r="AB6" s="150">
        <v>13762.4</v>
      </c>
      <c r="AC6" s="151">
        <f t="shared" si="10"/>
        <v>0.35921998125908655</v>
      </c>
      <c r="AE6" s="153"/>
      <c r="AF6" s="153"/>
      <c r="AG6" s="153"/>
    </row>
    <row r="7" spans="1:33" ht="13.5" thickBot="1">
      <c r="A7" s="154" t="s">
        <v>2969</v>
      </c>
      <c r="B7" s="150">
        <v>25.4</v>
      </c>
      <c r="C7" s="151">
        <f>B7/B$4</f>
        <v>0.008741740088105727</v>
      </c>
      <c r="D7" s="150">
        <v>33.3</v>
      </c>
      <c r="E7" s="151">
        <f>D7/D$4</f>
        <v>0.009963795218575147</v>
      </c>
      <c r="F7" s="150">
        <v>27.6</v>
      </c>
      <c r="G7" s="151">
        <f t="shared" si="1"/>
        <v>0.00702898181632965</v>
      </c>
      <c r="H7" s="150">
        <v>51.3</v>
      </c>
      <c r="I7" s="151">
        <f t="shared" si="2"/>
        <v>0.010169289933790586</v>
      </c>
      <c r="J7" s="150">
        <v>65.4</v>
      </c>
      <c r="K7" s="151">
        <f t="shared" si="3"/>
        <v>0.0088131847399841</v>
      </c>
      <c r="L7" s="150">
        <v>103.5</v>
      </c>
      <c r="M7" s="151">
        <f t="shared" si="4"/>
        <v>0.008803640539276144</v>
      </c>
      <c r="N7" s="150">
        <v>150.8</v>
      </c>
      <c r="O7" s="151">
        <f t="shared" si="5"/>
        <v>0.008457465900933237</v>
      </c>
      <c r="P7" s="150">
        <v>150.6</v>
      </c>
      <c r="Q7" s="151">
        <f t="shared" si="6"/>
        <v>0.005844072690019674</v>
      </c>
      <c r="R7" s="150">
        <v>123.8</v>
      </c>
      <c r="S7" s="151">
        <f t="shared" si="7"/>
        <v>0.0039105192335635</v>
      </c>
      <c r="T7" s="150">
        <v>297.7</v>
      </c>
      <c r="U7" s="151">
        <f t="shared" si="8"/>
        <v>0.0087123207491952</v>
      </c>
      <c r="V7" s="150">
        <v>297.2</v>
      </c>
      <c r="W7" s="151">
        <f t="shared" si="9"/>
        <v>0.008401579677901753</v>
      </c>
      <c r="X7" s="150">
        <v>443.8</v>
      </c>
      <c r="Y7" s="151">
        <f t="shared" si="9"/>
        <v>0.012119391572680849</v>
      </c>
      <c r="Z7" s="150">
        <v>499.2</v>
      </c>
      <c r="AA7" s="151">
        <f t="shared" si="10"/>
        <v>0.01333297721748885</v>
      </c>
      <c r="AB7" s="150">
        <v>603.5</v>
      </c>
      <c r="AC7" s="151">
        <f t="shared" si="10"/>
        <v>0.01575228584330195</v>
      </c>
      <c r="AE7" s="153"/>
      <c r="AF7" s="153"/>
      <c r="AG7" s="153"/>
    </row>
    <row r="8" spans="1:33" ht="13.5" thickBot="1">
      <c r="A8" s="155" t="s">
        <v>927</v>
      </c>
      <c r="B8" s="150">
        <v>1226.3</v>
      </c>
      <c r="C8" s="151">
        <f aca="true" t="shared" si="11" ref="C8:E10">B8/B$4</f>
        <v>0.42204708149779735</v>
      </c>
      <c r="D8" s="150">
        <v>1455.2</v>
      </c>
      <c r="E8" s="151">
        <f t="shared" si="11"/>
        <v>0.4354148589210377</v>
      </c>
      <c r="F8" s="150">
        <v>1483.7</v>
      </c>
      <c r="G8" s="151">
        <f t="shared" si="1"/>
        <v>0.37785870727856163</v>
      </c>
      <c r="H8" s="150">
        <v>1755.7</v>
      </c>
      <c r="I8" s="151">
        <f t="shared" si="2"/>
        <v>0.34803552313364783</v>
      </c>
      <c r="J8" s="150">
        <v>1925.9</v>
      </c>
      <c r="K8" s="151">
        <f t="shared" si="3"/>
        <v>0.2595307720295929</v>
      </c>
      <c r="L8" s="150">
        <v>3217.9</v>
      </c>
      <c r="M8" s="151">
        <f t="shared" si="4"/>
        <v>0.2737124144090503</v>
      </c>
      <c r="N8" s="150">
        <v>4214</v>
      </c>
      <c r="O8" s="151">
        <f t="shared" si="5"/>
        <v>0.23633793969849246</v>
      </c>
      <c r="P8" s="150">
        <v>4804</v>
      </c>
      <c r="Q8" s="151">
        <f t="shared" si="6"/>
        <v>0.18642048607473116</v>
      </c>
      <c r="R8" s="150">
        <v>5356.6</v>
      </c>
      <c r="S8" s="151">
        <f t="shared" si="7"/>
        <v>0.16920102848551086</v>
      </c>
      <c r="T8" s="150">
        <v>5571.6</v>
      </c>
      <c r="U8" s="151">
        <f t="shared" si="8"/>
        <v>0.1630553116769096</v>
      </c>
      <c r="V8" s="150">
        <v>6273.3</v>
      </c>
      <c r="W8" s="151">
        <f t="shared" si="9"/>
        <v>0.1773406116870157</v>
      </c>
      <c r="X8" s="150">
        <v>6448.3</v>
      </c>
      <c r="Y8" s="151">
        <f t="shared" si="9"/>
        <v>0.17609164641306427</v>
      </c>
      <c r="Z8" s="150">
        <v>6524</v>
      </c>
      <c r="AA8" s="151">
        <f t="shared" si="10"/>
        <v>0.1742474827061243</v>
      </c>
      <c r="AB8" s="150">
        <v>6616.9</v>
      </c>
      <c r="AC8" s="151">
        <f t="shared" si="10"/>
        <v>0.17271135078134991</v>
      </c>
      <c r="AE8" s="153"/>
      <c r="AF8" s="153"/>
      <c r="AG8" s="153"/>
    </row>
    <row r="9" spans="1:29" ht="25.5" customHeight="1" thickBot="1">
      <c r="A9" s="155" t="s">
        <v>928</v>
      </c>
      <c r="B9" s="150">
        <v>67.7</v>
      </c>
      <c r="C9" s="151">
        <f t="shared" si="11"/>
        <v>0.023299834801762117</v>
      </c>
      <c r="D9" s="150">
        <v>71</v>
      </c>
      <c r="E9" s="151">
        <f t="shared" si="11"/>
        <v>0.02124412794350857</v>
      </c>
      <c r="F9" s="150">
        <v>91.4</v>
      </c>
      <c r="G9" s="151">
        <f t="shared" si="1"/>
        <v>0.023277135435236594</v>
      </c>
      <c r="H9" s="150">
        <v>70.8</v>
      </c>
      <c r="I9" s="151">
        <f t="shared" si="2"/>
        <v>0.01403480949926654</v>
      </c>
      <c r="J9" s="150">
        <v>737.1</v>
      </c>
      <c r="K9" s="151">
        <f t="shared" si="3"/>
        <v>0.0993302518630318</v>
      </c>
      <c r="L9" s="150">
        <v>548.2</v>
      </c>
      <c r="M9" s="151">
        <f t="shared" si="4"/>
        <v>0.04662952409305491</v>
      </c>
      <c r="N9" s="150">
        <v>883.5</v>
      </c>
      <c r="O9" s="151">
        <f t="shared" si="5"/>
        <v>0.049550206389088296</v>
      </c>
      <c r="P9" s="150">
        <v>971.7</v>
      </c>
      <c r="Q9" s="151">
        <f t="shared" si="6"/>
        <v>0.03770707458759706</v>
      </c>
      <c r="R9" s="150">
        <v>1137.6</v>
      </c>
      <c r="S9" s="151">
        <f t="shared" si="7"/>
        <v>0.03593381809452211</v>
      </c>
      <c r="T9" s="150">
        <v>1656.5</v>
      </c>
      <c r="U9" s="151">
        <f t="shared" si="8"/>
        <v>0.04847819724904887</v>
      </c>
      <c r="V9" s="150">
        <v>1605.2</v>
      </c>
      <c r="W9" s="151">
        <f t="shared" si="9"/>
        <v>0.04537757637606963</v>
      </c>
      <c r="X9" s="150">
        <v>2018.4</v>
      </c>
      <c r="Y9" s="151">
        <f t="shared" si="9"/>
        <v>0.05511892733280538</v>
      </c>
      <c r="Z9" s="150">
        <v>2641.8</v>
      </c>
      <c r="AA9" s="151">
        <f t="shared" si="10"/>
        <v>0.0705590128468791</v>
      </c>
      <c r="AB9" s="150">
        <v>2701.1</v>
      </c>
      <c r="AC9" s="151">
        <f t="shared" si="10"/>
        <v>0.07050289857720447</v>
      </c>
    </row>
    <row r="10" spans="1:29" ht="13.5" thickBot="1">
      <c r="A10" s="156" t="s">
        <v>929</v>
      </c>
      <c r="B10" s="150">
        <v>78.9</v>
      </c>
      <c r="C10" s="151">
        <f t="shared" si="11"/>
        <v>0.02715446035242291</v>
      </c>
      <c r="D10" s="150">
        <v>83.3</v>
      </c>
      <c r="E10" s="151">
        <f t="shared" si="11"/>
        <v>0.02492444869991921</v>
      </c>
      <c r="F10" s="150">
        <v>105.1</v>
      </c>
      <c r="G10" s="151">
        <f t="shared" si="1"/>
        <v>0.02676615901797993</v>
      </c>
      <c r="H10" s="150">
        <v>69.5</v>
      </c>
      <c r="I10" s="151">
        <f t="shared" si="2"/>
        <v>0.013777108194901478</v>
      </c>
      <c r="J10" s="150">
        <v>151.4</v>
      </c>
      <c r="K10" s="151">
        <f t="shared" si="3"/>
        <v>0.020402387914886737</v>
      </c>
      <c r="L10" s="150">
        <v>338.6</v>
      </c>
      <c r="M10" s="151">
        <f t="shared" si="4"/>
        <v>0.02880108875940969</v>
      </c>
      <c r="N10" s="150">
        <v>867.4</v>
      </c>
      <c r="O10" s="151">
        <f t="shared" si="5"/>
        <v>0.04864725412778176</v>
      </c>
      <c r="P10" s="150">
        <v>1880.2</v>
      </c>
      <c r="Q10" s="151">
        <f t="shared" si="6"/>
        <v>0.07296165651909024</v>
      </c>
      <c r="R10" s="150">
        <v>2335.9</v>
      </c>
      <c r="S10" s="151">
        <f t="shared" si="7"/>
        <v>0.07378499093441826</v>
      </c>
      <c r="T10" s="150">
        <v>2676.3</v>
      </c>
      <c r="U10" s="151">
        <f t="shared" si="8"/>
        <v>0.07832309043020194</v>
      </c>
      <c r="V10" s="150">
        <v>2700.7</v>
      </c>
      <c r="W10" s="151">
        <f t="shared" si="9"/>
        <v>0.0763463870663165</v>
      </c>
      <c r="X10" s="150">
        <v>2611.8</v>
      </c>
      <c r="Y10" s="151">
        <f t="shared" si="9"/>
        <v>0.07132362980966166</v>
      </c>
      <c r="Z10" s="150">
        <v>2885.7</v>
      </c>
      <c r="AA10" s="151">
        <f t="shared" si="10"/>
        <v>0.07707326193210651</v>
      </c>
      <c r="AB10" s="150">
        <v>1898.2</v>
      </c>
      <c r="AC10" s="151">
        <f t="shared" si="10"/>
        <v>0.049545963525693064</v>
      </c>
    </row>
    <row r="11" spans="1:36" ht="25.5" customHeight="1" thickBot="1">
      <c r="A11" s="145" t="s">
        <v>2667</v>
      </c>
      <c r="B11" s="146">
        <v>1103.3</v>
      </c>
      <c r="C11" s="147">
        <v>1</v>
      </c>
      <c r="D11" s="146">
        <v>903.4</v>
      </c>
      <c r="E11" s="147">
        <v>1</v>
      </c>
      <c r="F11" s="146">
        <v>980</v>
      </c>
      <c r="G11" s="147">
        <v>1</v>
      </c>
      <c r="H11" s="146">
        <v>1850.5</v>
      </c>
      <c r="I11" s="147">
        <v>1</v>
      </c>
      <c r="J11" s="146">
        <v>2735.9</v>
      </c>
      <c r="K11" s="147">
        <v>1</v>
      </c>
      <c r="L11" s="146">
        <v>3152.1</v>
      </c>
      <c r="M11" s="147">
        <v>1</v>
      </c>
      <c r="N11" s="146">
        <v>6221.6</v>
      </c>
      <c r="O11" s="147">
        <v>1</v>
      </c>
      <c r="P11" s="146">
        <v>9051.8</v>
      </c>
      <c r="Q11" s="147">
        <v>1</v>
      </c>
      <c r="R11" s="146">
        <v>6727.8</v>
      </c>
      <c r="S11" s="147">
        <v>1</v>
      </c>
      <c r="T11" s="146">
        <v>2436.9</v>
      </c>
      <c r="U11" s="147">
        <v>1</v>
      </c>
      <c r="V11" s="146">
        <v>1151.2</v>
      </c>
      <c r="W11" s="147">
        <v>1</v>
      </c>
      <c r="X11" s="146">
        <v>1330.2</v>
      </c>
      <c r="Y11" s="147">
        <v>1</v>
      </c>
      <c r="Z11" s="146">
        <v>1141.7</v>
      </c>
      <c r="AA11" s="147">
        <v>1</v>
      </c>
      <c r="AB11" s="146">
        <v>1275.1</v>
      </c>
      <c r="AC11" s="147">
        <v>1</v>
      </c>
      <c r="AE11" s="153"/>
      <c r="AF11" s="153"/>
      <c r="AG11" s="153"/>
      <c r="AJ11" s="153"/>
    </row>
    <row r="12" spans="1:29" ht="13.5" customHeight="1" thickBot="1">
      <c r="A12" s="149" t="s">
        <v>930</v>
      </c>
      <c r="B12" s="150">
        <v>838.7</v>
      </c>
      <c r="C12" s="151">
        <f aca="true" t="shared" si="12" ref="C12:E14">B12/B$11</f>
        <v>0.7601740233843923</v>
      </c>
      <c r="D12" s="150">
        <v>627</v>
      </c>
      <c r="E12" s="151">
        <f t="shared" si="12"/>
        <v>0.6940447199468674</v>
      </c>
      <c r="F12" s="150">
        <v>631.6</v>
      </c>
      <c r="G12" s="151">
        <f aca="true" t="shared" si="13" ref="G12:G18">F12/F$11</f>
        <v>0.6444897959183674</v>
      </c>
      <c r="H12" s="150">
        <v>1075.2</v>
      </c>
      <c r="I12" s="151">
        <f aca="true" t="shared" si="14" ref="I12:I18">H12/H$11</f>
        <v>0.5810321534720346</v>
      </c>
      <c r="J12" s="150">
        <v>1831.9</v>
      </c>
      <c r="K12" s="151">
        <f aca="true" t="shared" si="15" ref="K12:K18">J12/J$11</f>
        <v>0.6695785664680727</v>
      </c>
      <c r="L12" s="150">
        <v>1789.3</v>
      </c>
      <c r="M12" s="151">
        <f aca="true" t="shared" si="16" ref="M12:M18">L12/L$11</f>
        <v>0.5676533104914184</v>
      </c>
      <c r="N12" s="150">
        <v>3234.1</v>
      </c>
      <c r="O12" s="151">
        <f aca="true" t="shared" si="17" ref="O12:O18">N12/N$11</f>
        <v>0.5198180532338947</v>
      </c>
      <c r="P12" s="150">
        <v>4765.2</v>
      </c>
      <c r="Q12" s="151">
        <f aca="true" t="shared" si="18" ref="Q12:Q18">P12/P$11</f>
        <v>0.5264367308159703</v>
      </c>
      <c r="R12" s="150">
        <v>4109.8</v>
      </c>
      <c r="S12" s="151">
        <f aca="true" t="shared" si="19" ref="S12:S18">R12/R$11</f>
        <v>0.6108683373465323</v>
      </c>
      <c r="T12" s="150">
        <v>1884</v>
      </c>
      <c r="U12" s="151">
        <f aca="true" t="shared" si="20" ref="U12:U18">T12/T$11</f>
        <v>0.773113381755509</v>
      </c>
      <c r="V12" s="150">
        <v>1604.7</v>
      </c>
      <c r="W12" s="151">
        <f aca="true" t="shared" si="21" ref="W12:Y18">V12/V$11</f>
        <v>1.3939367616400278</v>
      </c>
      <c r="X12" s="150">
        <v>1103.6</v>
      </c>
      <c r="Y12" s="151">
        <f t="shared" si="21"/>
        <v>0.8296496767403397</v>
      </c>
      <c r="Z12" s="150">
        <v>1055.5</v>
      </c>
      <c r="AA12" s="151">
        <f aca="true" t="shared" si="22" ref="AA12:AC18">Z12/Z$11</f>
        <v>0.9244985547867215</v>
      </c>
      <c r="AB12" s="150">
        <v>1078.8</v>
      </c>
      <c r="AC12" s="151">
        <f t="shared" si="22"/>
        <v>0.8460512900948945</v>
      </c>
    </row>
    <row r="13" spans="1:29" ht="13.5" customHeight="1" thickBot="1">
      <c r="A13" s="149" t="s">
        <v>931</v>
      </c>
      <c r="B13" s="150">
        <v>62.8</v>
      </c>
      <c r="C13" s="151">
        <f t="shared" si="12"/>
        <v>0.05692014864497417</v>
      </c>
      <c r="D13" s="150">
        <v>7</v>
      </c>
      <c r="E13" s="151">
        <f t="shared" si="12"/>
        <v>0.007748505645339828</v>
      </c>
      <c r="F13" s="150">
        <v>88.3</v>
      </c>
      <c r="G13" s="151">
        <f t="shared" si="13"/>
        <v>0.09010204081632653</v>
      </c>
      <c r="H13" s="150">
        <v>222</v>
      </c>
      <c r="I13" s="151">
        <f t="shared" si="14"/>
        <v>0.11996757633072143</v>
      </c>
      <c r="J13" s="150">
        <v>441.4</v>
      </c>
      <c r="K13" s="151">
        <f t="shared" si="15"/>
        <v>0.16133630615154063</v>
      </c>
      <c r="L13" s="150">
        <v>408.7</v>
      </c>
      <c r="M13" s="151">
        <f t="shared" si="16"/>
        <v>0.12965959201801974</v>
      </c>
      <c r="N13" s="150">
        <v>957.5</v>
      </c>
      <c r="O13" s="151">
        <f t="shared" si="17"/>
        <v>0.1538993185032789</v>
      </c>
      <c r="P13" s="150">
        <v>1547.2</v>
      </c>
      <c r="Q13" s="151">
        <f t="shared" si="18"/>
        <v>0.17092732937095387</v>
      </c>
      <c r="R13" s="150">
        <v>-183.5</v>
      </c>
      <c r="S13" s="151">
        <f t="shared" si="19"/>
        <v>-0.02727488926543595</v>
      </c>
      <c r="T13" s="150">
        <v>-269</v>
      </c>
      <c r="U13" s="151">
        <f t="shared" si="20"/>
        <v>-0.11038614633345643</v>
      </c>
      <c r="V13" s="150">
        <v>-445.7</v>
      </c>
      <c r="W13" s="151">
        <f t="shared" si="21"/>
        <v>-0.38716122307157746</v>
      </c>
      <c r="X13" s="150">
        <v>-173.7</v>
      </c>
      <c r="Y13" s="151">
        <f t="shared" si="21"/>
        <v>-0.13058186738836264</v>
      </c>
      <c r="Z13" s="150">
        <v>-367.1</v>
      </c>
      <c r="AA13" s="151">
        <f t="shared" si="22"/>
        <v>-0.32153805728299906</v>
      </c>
      <c r="AB13" s="150">
        <v>103.4</v>
      </c>
      <c r="AC13" s="151">
        <f>AB13/AB$11</f>
        <v>0.08109167908399342</v>
      </c>
    </row>
    <row r="14" spans="1:29" ht="13.5" customHeight="1" thickBot="1">
      <c r="A14" s="149" t="s">
        <v>926</v>
      </c>
      <c r="B14" s="150">
        <v>201.7</v>
      </c>
      <c r="C14" s="151">
        <f t="shared" si="12"/>
        <v>0.18281519079126257</v>
      </c>
      <c r="D14" s="150">
        <v>269.4</v>
      </c>
      <c r="E14" s="151">
        <f t="shared" si="12"/>
        <v>0.29820677440779275</v>
      </c>
      <c r="F14" s="150">
        <v>260.1</v>
      </c>
      <c r="G14" s="151">
        <f t="shared" si="13"/>
        <v>0.26540816326530614</v>
      </c>
      <c r="H14" s="150">
        <v>553.3</v>
      </c>
      <c r="I14" s="151">
        <f t="shared" si="14"/>
        <v>0.29900027019724396</v>
      </c>
      <c r="J14" s="150">
        <v>462.7</v>
      </c>
      <c r="K14" s="151">
        <f t="shared" si="15"/>
        <v>0.16912167842391898</v>
      </c>
      <c r="L14" s="150">
        <v>954.1</v>
      </c>
      <c r="M14" s="151">
        <f t="shared" si="16"/>
        <v>0.3026870974905619</v>
      </c>
      <c r="N14" s="150">
        <v>2030</v>
      </c>
      <c r="O14" s="151">
        <f t="shared" si="17"/>
        <v>0.3262826282628263</v>
      </c>
      <c r="P14" s="150">
        <v>2739.5</v>
      </c>
      <c r="Q14" s="151">
        <f t="shared" si="18"/>
        <v>0.3026469873395347</v>
      </c>
      <c r="R14" s="150">
        <v>2801.5</v>
      </c>
      <c r="S14" s="151">
        <f t="shared" si="19"/>
        <v>0.41640655191890363</v>
      </c>
      <c r="T14" s="150">
        <v>822</v>
      </c>
      <c r="U14" s="151">
        <f t="shared" si="20"/>
        <v>0.3373138003200788</v>
      </c>
      <c r="V14" s="150">
        <v>-7.8</v>
      </c>
      <c r="W14" s="151">
        <f t="shared" si="21"/>
        <v>-0.006775538568450312</v>
      </c>
      <c r="X14" s="150">
        <v>400.3</v>
      </c>
      <c r="Y14" s="151">
        <f t="shared" si="21"/>
        <v>0.30093219064802285</v>
      </c>
      <c r="Z14" s="150">
        <v>453.3</v>
      </c>
      <c r="AA14" s="151">
        <f t="shared" si="22"/>
        <v>0.39703950249627745</v>
      </c>
      <c r="AB14" s="150">
        <v>92.8</v>
      </c>
      <c r="AC14" s="151">
        <f t="shared" si="22"/>
        <v>0.07277860559956083</v>
      </c>
    </row>
    <row r="15" spans="1:36" ht="13.5" customHeight="1" thickBot="1">
      <c r="A15" s="157" t="s">
        <v>2969</v>
      </c>
      <c r="B15" s="150">
        <v>6.4</v>
      </c>
      <c r="C15" s="151">
        <f>B15/B$11</f>
        <v>0.005800779479742591</v>
      </c>
      <c r="D15" s="150">
        <v>5.4</v>
      </c>
      <c r="E15" s="151">
        <f>D15/D$11</f>
        <v>0.005977418640690724</v>
      </c>
      <c r="F15" s="150">
        <v>11.3</v>
      </c>
      <c r="G15" s="151">
        <f t="shared" si="13"/>
        <v>0.01153061224489796</v>
      </c>
      <c r="H15" s="150">
        <v>18.7</v>
      </c>
      <c r="I15" s="151">
        <f t="shared" si="14"/>
        <v>0.010105376925155363</v>
      </c>
      <c r="J15" s="150">
        <v>17.5</v>
      </c>
      <c r="K15" s="151">
        <f t="shared" si="15"/>
        <v>0.006396432618151248</v>
      </c>
      <c r="L15" s="150">
        <v>36.3</v>
      </c>
      <c r="M15" s="151">
        <f t="shared" si="16"/>
        <v>0.011516132102407917</v>
      </c>
      <c r="N15" s="150">
        <v>21.4</v>
      </c>
      <c r="O15" s="151">
        <f t="shared" si="17"/>
        <v>0.003439629677253439</v>
      </c>
      <c r="P15" s="150">
        <v>61.9</v>
      </c>
      <c r="Q15" s="151">
        <f t="shared" si="18"/>
        <v>0.006838418878013213</v>
      </c>
      <c r="R15" s="150">
        <v>1.7</v>
      </c>
      <c r="S15" s="151">
        <f t="shared" si="19"/>
        <v>0.00025268289782692707</v>
      </c>
      <c r="T15" s="150">
        <v>45.6</v>
      </c>
      <c r="U15" s="151">
        <f t="shared" si="20"/>
        <v>0.01871229841191678</v>
      </c>
      <c r="V15" s="150">
        <v>35.7</v>
      </c>
      <c r="W15" s="151">
        <f t="shared" si="21"/>
        <v>0.031011118832522586</v>
      </c>
      <c r="X15" s="150">
        <v>150.4</v>
      </c>
      <c r="Y15" s="151">
        <f t="shared" si="21"/>
        <v>0.11306570440535257</v>
      </c>
      <c r="Z15" s="150">
        <v>231.7</v>
      </c>
      <c r="AA15" s="151">
        <f t="shared" si="22"/>
        <v>0.2029429797670141</v>
      </c>
      <c r="AB15" s="150">
        <v>105</v>
      </c>
      <c r="AC15" s="151">
        <f t="shared" si="22"/>
        <v>0.08234648262881343</v>
      </c>
      <c r="AE15" s="153"/>
      <c r="AF15" s="153"/>
      <c r="AG15" s="153"/>
      <c r="AJ15" s="153"/>
    </row>
    <row r="16" spans="1:33" ht="13.5" customHeight="1" thickBot="1">
      <c r="A16" s="155" t="s">
        <v>927</v>
      </c>
      <c r="B16" s="150">
        <v>551.9</v>
      </c>
      <c r="C16" s="151">
        <f aca="true" t="shared" si="23" ref="C16:E18">B16/B$11</f>
        <v>0.5002265929484274</v>
      </c>
      <c r="D16" s="150">
        <v>289.5</v>
      </c>
      <c r="E16" s="151">
        <f t="shared" si="23"/>
        <v>0.32045605490369716</v>
      </c>
      <c r="F16" s="150">
        <v>76.8</v>
      </c>
      <c r="G16" s="151">
        <f t="shared" si="13"/>
        <v>0.0783673469387755</v>
      </c>
      <c r="H16" s="150">
        <v>516.3</v>
      </c>
      <c r="I16" s="151">
        <f t="shared" si="14"/>
        <v>0.27900567414212374</v>
      </c>
      <c r="J16" s="150">
        <v>435.7</v>
      </c>
      <c r="K16" s="151">
        <f t="shared" si="15"/>
        <v>0.15925289667019993</v>
      </c>
      <c r="L16" s="150">
        <v>868.2</v>
      </c>
      <c r="M16" s="151">
        <f t="shared" si="16"/>
        <v>0.2754354240030456</v>
      </c>
      <c r="N16" s="150">
        <v>1078.6</v>
      </c>
      <c r="O16" s="151">
        <f t="shared" si="17"/>
        <v>0.17336376494792333</v>
      </c>
      <c r="P16" s="150">
        <v>1057.9</v>
      </c>
      <c r="Q16" s="151">
        <f t="shared" si="18"/>
        <v>0.11687178240791889</v>
      </c>
      <c r="R16" s="150">
        <v>628.4</v>
      </c>
      <c r="S16" s="151">
        <f t="shared" si="19"/>
        <v>0.09340348999672998</v>
      </c>
      <c r="T16" s="150">
        <v>-219.8</v>
      </c>
      <c r="U16" s="151">
        <f t="shared" si="20"/>
        <v>-0.09019656120480939</v>
      </c>
      <c r="V16" s="150">
        <v>541.8</v>
      </c>
      <c r="W16" s="151">
        <f t="shared" si="21"/>
        <v>0.4706393328700486</v>
      </c>
      <c r="X16" s="150">
        <v>283.5</v>
      </c>
      <c r="Y16" s="151">
        <f t="shared" si="21"/>
        <v>0.21312584573748308</v>
      </c>
      <c r="Z16" s="150">
        <v>529.8</v>
      </c>
      <c r="AA16" s="151">
        <f t="shared" si="22"/>
        <v>0.4640448454059735</v>
      </c>
      <c r="AB16" s="150">
        <v>302.5</v>
      </c>
      <c r="AC16" s="151">
        <f t="shared" si="22"/>
        <v>0.23723629519253395</v>
      </c>
      <c r="AE16" s="153"/>
      <c r="AF16" s="153"/>
      <c r="AG16" s="153"/>
    </row>
    <row r="17" spans="1:33" ht="25.5" customHeight="1" thickBot="1">
      <c r="A17" s="155" t="s">
        <v>1978</v>
      </c>
      <c r="B17" s="150">
        <v>-15.6</v>
      </c>
      <c r="C17" s="151">
        <f t="shared" si="23"/>
        <v>-0.014139399981872565</v>
      </c>
      <c r="D17" s="150">
        <v>3</v>
      </c>
      <c r="E17" s="151">
        <f t="shared" si="23"/>
        <v>0.003320788133717069</v>
      </c>
      <c r="F17" s="150">
        <v>73.3</v>
      </c>
      <c r="G17" s="151">
        <f t="shared" si="13"/>
        <v>0.07479591836734693</v>
      </c>
      <c r="H17" s="150">
        <v>7.7</v>
      </c>
      <c r="I17" s="151">
        <f t="shared" si="14"/>
        <v>0.004161037557416914</v>
      </c>
      <c r="J17" s="150">
        <v>670.8</v>
      </c>
      <c r="K17" s="151">
        <f t="shared" si="15"/>
        <v>0.24518440001462039</v>
      </c>
      <c r="L17" s="150">
        <v>308.5</v>
      </c>
      <c r="M17" s="151">
        <f t="shared" si="16"/>
        <v>0.09787126042955491</v>
      </c>
      <c r="N17" s="150">
        <v>352.4</v>
      </c>
      <c r="O17" s="151">
        <f t="shared" si="17"/>
        <v>0.05664137842355663</v>
      </c>
      <c r="P17" s="150">
        <v>280.1</v>
      </c>
      <c r="Q17" s="151">
        <f t="shared" si="18"/>
        <v>0.030944121611171264</v>
      </c>
      <c r="R17" s="150">
        <v>238.1</v>
      </c>
      <c r="S17" s="151">
        <f t="shared" si="19"/>
        <v>0.035390469395641964</v>
      </c>
      <c r="T17" s="150">
        <v>307.3</v>
      </c>
      <c r="U17" s="151">
        <f t="shared" si="20"/>
        <v>0.12610283556978127</v>
      </c>
      <c r="V17" s="150">
        <v>324.6</v>
      </c>
      <c r="W17" s="151">
        <f t="shared" si="21"/>
        <v>0.2819666435024323</v>
      </c>
      <c r="X17" s="150">
        <v>450.7</v>
      </c>
      <c r="Y17" s="151">
        <f t="shared" si="21"/>
        <v>0.33882122989024205</v>
      </c>
      <c r="Z17" s="150">
        <v>737.1</v>
      </c>
      <c r="AA17" s="151">
        <f t="shared" si="22"/>
        <v>0.6456161863887185</v>
      </c>
      <c r="AB17" s="150">
        <v>59.6</v>
      </c>
      <c r="AC17" s="151">
        <f t="shared" si="22"/>
        <v>0.04674143204454553</v>
      </c>
      <c r="AE17" s="153"/>
      <c r="AF17" s="153"/>
      <c r="AG17" s="153"/>
    </row>
    <row r="18" spans="1:33" ht="13.5" customHeight="1" thickBot="1">
      <c r="A18" s="156" t="s">
        <v>929</v>
      </c>
      <c r="B18" s="150">
        <v>29.2</v>
      </c>
      <c r="C18" s="151">
        <f t="shared" si="23"/>
        <v>0.02646605637632557</v>
      </c>
      <c r="D18" s="150">
        <v>19.3</v>
      </c>
      <c r="E18" s="151">
        <f t="shared" si="23"/>
        <v>0.02136373699357981</v>
      </c>
      <c r="F18" s="150">
        <v>35.7</v>
      </c>
      <c r="G18" s="151">
        <f t="shared" si="13"/>
        <v>0.03642857142857143</v>
      </c>
      <c r="H18" s="150">
        <v>4.6</v>
      </c>
      <c r="I18" s="151">
        <f t="shared" si="14"/>
        <v>0.002485814644690624</v>
      </c>
      <c r="J18" s="150">
        <v>81.7</v>
      </c>
      <c r="K18" s="151">
        <f t="shared" si="15"/>
        <v>0.029862202565883254</v>
      </c>
      <c r="L18" s="150">
        <v>171.6</v>
      </c>
      <c r="M18" s="151">
        <f t="shared" si="16"/>
        <v>0.054439897211382884</v>
      </c>
      <c r="N18" s="150">
        <v>501</v>
      </c>
      <c r="O18" s="151">
        <f t="shared" si="17"/>
        <v>0.08052590973383052</v>
      </c>
      <c r="P18" s="150">
        <v>815.1</v>
      </c>
      <c r="Q18" s="151">
        <f t="shared" si="18"/>
        <v>0.09004838816588967</v>
      </c>
      <c r="R18" s="150">
        <v>611.6</v>
      </c>
      <c r="S18" s="151">
        <f t="shared" si="19"/>
        <v>0.09090638841820506</v>
      </c>
      <c r="T18" s="150">
        <v>278.1</v>
      </c>
      <c r="U18" s="151">
        <f t="shared" si="20"/>
        <v>0.11412039886741353</v>
      </c>
      <c r="V18" s="150">
        <v>110.2</v>
      </c>
      <c r="W18" s="151">
        <f t="shared" si="21"/>
        <v>0.09572619874913134</v>
      </c>
      <c r="X18" s="150">
        <v>-90.5</v>
      </c>
      <c r="Y18" s="151">
        <f t="shared" si="21"/>
        <v>-0.06803488197263569</v>
      </c>
      <c r="Z18" s="150">
        <v>254.8</v>
      </c>
      <c r="AA18" s="151">
        <f t="shared" si="22"/>
        <v>0.22317596566523606</v>
      </c>
      <c r="AB18" s="150">
        <v>46.9</v>
      </c>
      <c r="AC18" s="151">
        <f t="shared" si="22"/>
        <v>0.03678142890753666</v>
      </c>
      <c r="AE18" s="153"/>
      <c r="AF18" s="153"/>
      <c r="AG18" s="153"/>
    </row>
    <row r="21" spans="1:8" ht="30" customHeight="1" thickBot="1">
      <c r="A21" s="140" t="s">
        <v>2263</v>
      </c>
      <c r="B21" s="140"/>
      <c r="C21" s="140"/>
      <c r="D21" s="140"/>
      <c r="E21" s="140"/>
      <c r="F21" s="140"/>
      <c r="G21" s="140"/>
      <c r="H21" s="140"/>
    </row>
    <row r="22" spans="1:29" ht="13.5" thickBot="1">
      <c r="A22" s="724" t="s">
        <v>2135</v>
      </c>
      <c r="B22" s="722">
        <v>2000</v>
      </c>
      <c r="C22" s="723"/>
      <c r="D22" s="722">
        <f>B22+1</f>
        <v>2001</v>
      </c>
      <c r="E22" s="723"/>
      <c r="F22" s="722">
        <f>D22+1</f>
        <v>2002</v>
      </c>
      <c r="G22" s="723"/>
      <c r="H22" s="722">
        <f>F22+1</f>
        <v>2003</v>
      </c>
      <c r="I22" s="723"/>
      <c r="J22" s="722">
        <f>H22+1</f>
        <v>2004</v>
      </c>
      <c r="K22" s="723"/>
      <c r="L22" s="722">
        <f>J22+1</f>
        <v>2005</v>
      </c>
      <c r="M22" s="723"/>
      <c r="N22" s="722">
        <f>L22+1</f>
        <v>2006</v>
      </c>
      <c r="O22" s="723"/>
      <c r="P22" s="722">
        <f>N22+1</f>
        <v>2007</v>
      </c>
      <c r="Q22" s="723"/>
      <c r="R22" s="722">
        <f>P22+1</f>
        <v>2008</v>
      </c>
      <c r="S22" s="723"/>
      <c r="T22" s="722">
        <f>R22+1</f>
        <v>2009</v>
      </c>
      <c r="U22" s="723"/>
      <c r="V22" s="722">
        <f>T22+1</f>
        <v>2010</v>
      </c>
      <c r="W22" s="723"/>
      <c r="X22" s="722">
        <f>V22+1</f>
        <v>2011</v>
      </c>
      <c r="Y22" s="723"/>
      <c r="Z22" s="722">
        <f>X22+1</f>
        <v>2012</v>
      </c>
      <c r="AA22" s="723"/>
      <c r="AB22" s="722">
        <f>Z22+1</f>
        <v>2013</v>
      </c>
      <c r="AC22" s="723"/>
    </row>
    <row r="23" spans="1:29" ht="13.5" thickBot="1">
      <c r="A23" s="725"/>
      <c r="B23" s="143" t="s">
        <v>1884</v>
      </c>
      <c r="C23" s="144" t="s">
        <v>3031</v>
      </c>
      <c r="D23" s="143" t="s">
        <v>1884</v>
      </c>
      <c r="E23" s="144" t="s">
        <v>3031</v>
      </c>
      <c r="F23" s="143" t="s">
        <v>1884</v>
      </c>
      <c r="G23" s="144" t="s">
        <v>3031</v>
      </c>
      <c r="H23" s="143" t="s">
        <v>1884</v>
      </c>
      <c r="I23" s="144" t="s">
        <v>3031</v>
      </c>
      <c r="J23" s="143" t="s">
        <v>1884</v>
      </c>
      <c r="K23" s="144" t="s">
        <v>3031</v>
      </c>
      <c r="L23" s="143" t="s">
        <v>1884</v>
      </c>
      <c r="M23" s="144" t="s">
        <v>3031</v>
      </c>
      <c r="N23" s="143" t="s">
        <v>1884</v>
      </c>
      <c r="O23" s="144" t="s">
        <v>3031</v>
      </c>
      <c r="P23" s="143" t="s">
        <v>924</v>
      </c>
      <c r="Q23" s="144" t="s">
        <v>3031</v>
      </c>
      <c r="R23" s="143" t="s">
        <v>924</v>
      </c>
      <c r="S23" s="144" t="s">
        <v>3031</v>
      </c>
      <c r="T23" s="143" t="s">
        <v>924</v>
      </c>
      <c r="U23" s="144" t="s">
        <v>3031</v>
      </c>
      <c r="V23" s="143" t="s">
        <v>924</v>
      </c>
      <c r="W23" s="144" t="s">
        <v>3031</v>
      </c>
      <c r="X23" s="143" t="s">
        <v>924</v>
      </c>
      <c r="Y23" s="144" t="s">
        <v>3031</v>
      </c>
      <c r="Z23" s="143" t="s">
        <v>924</v>
      </c>
      <c r="AA23" s="144" t="s">
        <v>3031</v>
      </c>
      <c r="AB23" s="143" t="s">
        <v>924</v>
      </c>
      <c r="AC23" s="144" t="s">
        <v>3031</v>
      </c>
    </row>
    <row r="24" spans="1:33" ht="13.5" thickBot="1">
      <c r="A24" s="446" t="s">
        <v>1883</v>
      </c>
      <c r="B24" s="146">
        <f>1944326.8/1000</f>
        <v>1944.3268</v>
      </c>
      <c r="C24" s="147">
        <v>1</v>
      </c>
      <c r="D24" s="146">
        <f>2524385.8/1000</f>
        <v>2524.3858</v>
      </c>
      <c r="E24" s="147">
        <v>1</v>
      </c>
      <c r="F24" s="146">
        <f>3506761.9/1000</f>
        <v>3506.7619</v>
      </c>
      <c r="G24" s="147">
        <v>1</v>
      </c>
      <c r="H24" s="146">
        <f>5031862.2/1000</f>
        <v>5031.8622000000005</v>
      </c>
      <c r="I24" s="147">
        <v>1</v>
      </c>
      <c r="J24" s="146">
        <f>6982149.4/1000</f>
        <v>6982.1494</v>
      </c>
      <c r="K24" s="147">
        <v>1</v>
      </c>
      <c r="L24" s="146">
        <f>9196052.8/1000</f>
        <v>9196.052800000001</v>
      </c>
      <c r="M24" s="147">
        <v>1</v>
      </c>
      <c r="N24" s="146">
        <f>12401663.2/1000</f>
        <v>12401.663199999999</v>
      </c>
      <c r="O24" s="147">
        <v>1</v>
      </c>
      <c r="P24" s="146">
        <f>15167125.4/1000</f>
        <v>15167.1254</v>
      </c>
      <c r="Q24" s="147">
        <v>1</v>
      </c>
      <c r="R24" s="146">
        <f>19185002.9/1000</f>
        <v>19185.0029</v>
      </c>
      <c r="S24" s="147">
        <v>1</v>
      </c>
      <c r="T24" s="146">
        <f>20441581.2/1000</f>
        <v>20441.5812</v>
      </c>
      <c r="U24" s="147">
        <v>1</v>
      </c>
      <c r="V24" s="146">
        <f>22114446.3/1000</f>
        <v>22114.4463</v>
      </c>
      <c r="W24" s="147">
        <v>1</v>
      </c>
      <c r="X24" s="146">
        <f>21644918/1000</f>
        <v>21644.918</v>
      </c>
      <c r="Y24" s="147">
        <v>1</v>
      </c>
      <c r="Z24" s="509">
        <f>21950596.1/1000</f>
        <v>21950.596100000002</v>
      </c>
      <c r="AA24" s="147">
        <v>1</v>
      </c>
      <c r="AB24" s="509">
        <f>23339733.1/1000</f>
        <v>23339.7331</v>
      </c>
      <c r="AC24" s="147">
        <v>1</v>
      </c>
      <c r="AE24" s="153"/>
      <c r="AF24" s="153"/>
      <c r="AG24" s="153"/>
    </row>
    <row r="25" spans="1:33" ht="13.5" thickBot="1">
      <c r="A25" s="447" t="s">
        <v>1885</v>
      </c>
      <c r="B25" s="150">
        <f>15137.6/1000</f>
        <v>15.1376</v>
      </c>
      <c r="C25" s="151">
        <f>B25/B$24</f>
        <v>0.007785522474925512</v>
      </c>
      <c r="D25" s="150">
        <f>16930.5/1000</f>
        <v>16.9305</v>
      </c>
      <c r="E25" s="151">
        <f>D25/D$24</f>
        <v>0.006706779922466684</v>
      </c>
      <c r="F25" s="150">
        <f>29053.4/1000</f>
        <v>29.0534</v>
      </c>
      <c r="G25" s="151">
        <f>F25/F$24</f>
        <v>0.008284965112687006</v>
      </c>
      <c r="H25" s="448" t="s">
        <v>9</v>
      </c>
      <c r="I25" s="151"/>
      <c r="J25" s="448" t="s">
        <v>9</v>
      </c>
      <c r="K25" s="151"/>
      <c r="L25" s="448" t="s">
        <v>9</v>
      </c>
      <c r="M25" s="151"/>
      <c r="N25" s="448" t="s">
        <v>9</v>
      </c>
      <c r="O25" s="151"/>
      <c r="P25" s="150">
        <f>164670/1000</f>
        <v>164.67</v>
      </c>
      <c r="Q25" s="151">
        <f>P25/P$24</f>
        <v>0.010857034253834282</v>
      </c>
      <c r="R25" s="150">
        <f>173119.6/1000</f>
        <v>173.11960000000002</v>
      </c>
      <c r="S25" s="151">
        <f>R25/R$24</f>
        <v>0.009023694231497877</v>
      </c>
      <c r="T25" s="150">
        <f>411615.9/1000</f>
        <v>411.6159</v>
      </c>
      <c r="U25" s="151">
        <f>T25/T$24</f>
        <v>0.02013620648876223</v>
      </c>
      <c r="V25" s="150">
        <f>435955.5/1000</f>
        <v>435.9555</v>
      </c>
      <c r="W25" s="151">
        <f>V25/V$24</f>
        <v>0.01971360684712237</v>
      </c>
      <c r="X25" s="150">
        <f>512678.8/1000</f>
        <v>512.6788</v>
      </c>
      <c r="Y25" s="151">
        <f>X25/X$24</f>
        <v>0.023685873977438952</v>
      </c>
      <c r="Z25" s="150">
        <f>646287.8/1000</f>
        <v>646.2878000000001</v>
      </c>
      <c r="AA25" s="151">
        <f>Z25/Z$24</f>
        <v>0.02944283595104736</v>
      </c>
      <c r="AB25" s="510">
        <f>740852.1/1000</f>
        <v>740.8521</v>
      </c>
      <c r="AC25" s="151">
        <f>AB25/AB$24</f>
        <v>0.03174209819905781</v>
      </c>
      <c r="AE25" s="153"/>
      <c r="AF25" s="153"/>
      <c r="AG25" s="153"/>
    </row>
    <row r="26" spans="1:29" ht="32.25" thickBot="1">
      <c r="A26" s="155" t="s">
        <v>1887</v>
      </c>
      <c r="B26" s="448" t="s">
        <v>9</v>
      </c>
      <c r="C26" s="151"/>
      <c r="D26" s="448" t="s">
        <v>9</v>
      </c>
      <c r="E26" s="151"/>
      <c r="F26" s="150">
        <f>15270.6/1000</f>
        <v>15.2706</v>
      </c>
      <c r="G26" s="151">
        <f>F26/F$24</f>
        <v>0.004354615578548404</v>
      </c>
      <c r="H26" s="449">
        <f>158240.7/1000</f>
        <v>158.2407</v>
      </c>
      <c r="I26" s="151">
        <f>H26/H$24</f>
        <v>0.03144774115634565</v>
      </c>
      <c r="J26" s="448">
        <f>320349.6/1000</f>
        <v>320.34959999999995</v>
      </c>
      <c r="K26" s="151">
        <f>J26/J$24</f>
        <v>0.04588122963968659</v>
      </c>
      <c r="L26" s="448">
        <f>645171/1000</f>
        <v>645.171</v>
      </c>
      <c r="M26" s="151">
        <f>L26/L$24</f>
        <v>0.07015738317639933</v>
      </c>
      <c r="N26" s="448" t="s">
        <v>9</v>
      </c>
      <c r="O26" s="147"/>
      <c r="P26" s="448" t="s">
        <v>9</v>
      </c>
      <c r="Q26" s="151"/>
      <c r="R26" s="448" t="s">
        <v>9</v>
      </c>
      <c r="S26" s="151"/>
      <c r="T26" s="150">
        <f>209338.1/1000</f>
        <v>209.3381</v>
      </c>
      <c r="U26" s="151">
        <f>T26/T$24</f>
        <v>0.010240797810689909</v>
      </c>
      <c r="V26" s="448" t="s">
        <v>9</v>
      </c>
      <c r="W26" s="151"/>
      <c r="X26" s="448" t="s">
        <v>9</v>
      </c>
      <c r="Y26" s="151"/>
      <c r="Z26" s="448" t="s">
        <v>9</v>
      </c>
      <c r="AA26" s="151"/>
      <c r="AB26" s="448" t="s">
        <v>9</v>
      </c>
      <c r="AC26" s="151"/>
    </row>
    <row r="27" spans="1:29" ht="32.25" thickBot="1">
      <c r="A27" s="155" t="s">
        <v>1888</v>
      </c>
      <c r="B27" s="150">
        <f>122489.9/1000</f>
        <v>122.48989999999999</v>
      </c>
      <c r="C27" s="151">
        <f aca="true" t="shared" si="24" ref="C27:E29">B27/B$24</f>
        <v>0.06299861731062906</v>
      </c>
      <c r="D27" s="150">
        <f>222843.4/1000</f>
        <v>222.8434</v>
      </c>
      <c r="E27" s="151">
        <f t="shared" si="24"/>
        <v>0.08827628486897685</v>
      </c>
      <c r="F27" s="150">
        <f>225726.7/1000</f>
        <v>225.72670000000002</v>
      </c>
      <c r="G27" s="151">
        <f>F27/F$24</f>
        <v>0.06436898381951738</v>
      </c>
      <c r="H27" s="150">
        <f>345184.3/1000</f>
        <v>345.1843</v>
      </c>
      <c r="I27" s="151">
        <f>H27/H$24</f>
        <v>0.06859971244840528</v>
      </c>
      <c r="J27" s="150">
        <f>465148/1000</f>
        <v>465.148</v>
      </c>
      <c r="K27" s="151">
        <f>J27/J$24</f>
        <v>0.06661959997590428</v>
      </c>
      <c r="L27" s="150">
        <f>727933.5/1000</f>
        <v>727.9335</v>
      </c>
      <c r="M27" s="151">
        <f>L27/L$24</f>
        <v>0.07915716838859384</v>
      </c>
      <c r="N27" s="150">
        <f>812211.8/1000</f>
        <v>812.2118</v>
      </c>
      <c r="O27" s="151">
        <f>N27/N$24</f>
        <v>0.06549216721189462</v>
      </c>
      <c r="P27" s="150">
        <f>616782.7/1000</f>
        <v>616.7827</v>
      </c>
      <c r="Q27" s="151">
        <f aca="true" t="shared" si="25" ref="Q27:S29">P27/P$24</f>
        <v>0.040665761225920895</v>
      </c>
      <c r="R27" s="150">
        <f>627777.4/1000</f>
        <v>627.7774000000001</v>
      </c>
      <c r="S27" s="151">
        <f t="shared" si="25"/>
        <v>0.03272229893694726</v>
      </c>
      <c r="T27" s="150">
        <f>452549.3/1000</f>
        <v>452.5493</v>
      </c>
      <c r="U27" s="151">
        <f>T27/T$24</f>
        <v>0.02213866410686469</v>
      </c>
      <c r="V27" s="150">
        <f>702924.3/1000</f>
        <v>702.9243</v>
      </c>
      <c r="W27" s="151">
        <f>V27/V$24</f>
        <v>0.03178575174183764</v>
      </c>
      <c r="X27" s="150">
        <f>1026150/1000</f>
        <v>1026.15</v>
      </c>
      <c r="Y27" s="151">
        <f>X27/X$24</f>
        <v>0.04740835701017671</v>
      </c>
      <c r="Z27" s="150">
        <f>1003638.7/1000</f>
        <v>1003.6387</v>
      </c>
      <c r="AA27" s="151">
        <f>Z27/Z$24</f>
        <v>0.04572261707280013</v>
      </c>
      <c r="AB27" s="510">
        <f>895690.2/1000</f>
        <v>895.6902</v>
      </c>
      <c r="AC27" s="151">
        <f>AB27/AB$24</f>
        <v>0.038376197198244734</v>
      </c>
    </row>
    <row r="28" spans="1:29" ht="45" customHeight="1" thickBot="1">
      <c r="A28" s="155" t="s">
        <v>2035</v>
      </c>
      <c r="B28" s="150">
        <f>11160.4/1000</f>
        <v>11.1604</v>
      </c>
      <c r="C28" s="151">
        <f t="shared" si="24"/>
        <v>0.005739981570999278</v>
      </c>
      <c r="D28" s="150">
        <f>13105.6/1000</f>
        <v>13.1056</v>
      </c>
      <c r="E28" s="151">
        <f t="shared" si="24"/>
        <v>0.005191599477385747</v>
      </c>
      <c r="F28" s="150">
        <f>67652.5/1000</f>
        <v>67.6525</v>
      </c>
      <c r="G28" s="151">
        <f>F28/F$24</f>
        <v>0.019292014094256016</v>
      </c>
      <c r="H28" s="150">
        <f>258961.4/1000</f>
        <v>258.96139999999997</v>
      </c>
      <c r="I28" s="151">
        <f>H28/H$24</f>
        <v>0.05146432666617936</v>
      </c>
      <c r="J28" s="150">
        <f>304102.4/1000</f>
        <v>304.10240000000005</v>
      </c>
      <c r="K28" s="151">
        <f>J28/J$24</f>
        <v>0.04355426711436453</v>
      </c>
      <c r="L28" s="150">
        <f>623962.4/1000</f>
        <v>623.9624</v>
      </c>
      <c r="M28" s="151">
        <f>L28/L$24</f>
        <v>0.06785111107670021</v>
      </c>
      <c r="N28" s="150">
        <f>1396241.3/1000</f>
        <v>1396.2413000000001</v>
      </c>
      <c r="O28" s="151">
        <f>N28/N$24</f>
        <v>0.11258500392108699</v>
      </c>
      <c r="P28" s="150">
        <f>1140489.5/1000</f>
        <v>1140.4895</v>
      </c>
      <c r="Q28" s="151">
        <f t="shared" si="25"/>
        <v>0.07519483553554583</v>
      </c>
      <c r="R28" s="150">
        <f>1300726.3/1000</f>
        <v>1300.7263</v>
      </c>
      <c r="S28" s="151">
        <f t="shared" si="25"/>
        <v>0.06779911927977869</v>
      </c>
      <c r="T28" s="150">
        <f>1525985.2/1000</f>
        <v>1525.9851999999998</v>
      </c>
      <c r="U28" s="151">
        <f>T28/T$24</f>
        <v>0.07465103531227808</v>
      </c>
      <c r="V28" s="150">
        <f>1973864.9/1000</f>
        <v>1973.8648999999998</v>
      </c>
      <c r="W28" s="151">
        <f>V28/V$24</f>
        <v>0.08925680856861426</v>
      </c>
      <c r="X28" s="150">
        <f>1878572.3/1000</f>
        <v>1878.5723</v>
      </c>
      <c r="Y28" s="151">
        <f>X28/X$24</f>
        <v>0.08679045584741878</v>
      </c>
      <c r="Z28" s="150">
        <f>2383820.3/1000</f>
        <v>2383.8203</v>
      </c>
      <c r="AA28" s="151">
        <f>Z28/Z$24</f>
        <v>0.1085993423203664</v>
      </c>
      <c r="AB28" s="510">
        <f>2732265.9/1000</f>
        <v>2732.2659</v>
      </c>
      <c r="AC28" s="151">
        <f>AB28/AB$24</f>
        <v>0.11706500191298244</v>
      </c>
    </row>
    <row r="29" spans="1:29" ht="13.5" thickBot="1">
      <c r="A29" s="156" t="s">
        <v>929</v>
      </c>
      <c r="B29" s="150">
        <f>40761.6/1000</f>
        <v>40.7616</v>
      </c>
      <c r="C29" s="151">
        <f t="shared" si="24"/>
        <v>0.020964376976133847</v>
      </c>
      <c r="D29" s="150">
        <f>45396.1/1000</f>
        <v>45.3961</v>
      </c>
      <c r="E29" s="151">
        <f t="shared" si="24"/>
        <v>0.017983027792344577</v>
      </c>
      <c r="F29" s="150">
        <f>33479.1/1000</f>
        <v>33.479099999999995</v>
      </c>
      <c r="G29" s="151">
        <f>F29/F$24</f>
        <v>0.009547012587310246</v>
      </c>
      <c r="H29" s="150">
        <f>46497.4/1000</f>
        <v>46.4974</v>
      </c>
      <c r="I29" s="151">
        <f>H29/H$24</f>
        <v>0.009240594863666973</v>
      </c>
      <c r="J29" s="150">
        <f>56978.1/1000</f>
        <v>56.9781</v>
      </c>
      <c r="K29" s="151">
        <f>J29/J$24</f>
        <v>0.00816053864444665</v>
      </c>
      <c r="L29" s="150">
        <f>100083.1/1000</f>
        <v>100.0831</v>
      </c>
      <c r="M29" s="151">
        <f>L29/L$24</f>
        <v>0.010883267220910257</v>
      </c>
      <c r="N29" s="150">
        <f>322023/1000</f>
        <v>322.023</v>
      </c>
      <c r="O29" s="151">
        <f>N29/N$24</f>
        <v>0.025966113964455997</v>
      </c>
      <c r="P29" s="150">
        <f>597867.8/1000</f>
        <v>597.8678000000001</v>
      </c>
      <c r="Q29" s="151">
        <f t="shared" si="25"/>
        <v>0.039418662682119056</v>
      </c>
      <c r="R29" s="150">
        <f>1121436.9/1000</f>
        <v>1121.4369</v>
      </c>
      <c r="S29" s="151">
        <f t="shared" si="25"/>
        <v>0.05845383010080233</v>
      </c>
      <c r="T29" s="150">
        <f>1234384.6/1000</f>
        <v>1234.3846</v>
      </c>
      <c r="U29" s="151">
        <f>T29/T$24</f>
        <v>0.060385964663046715</v>
      </c>
      <c r="V29" s="150">
        <f>1291520/1000</f>
        <v>1291.52</v>
      </c>
      <c r="W29" s="151">
        <f>V29/V$24</f>
        <v>0.058401643092461236</v>
      </c>
      <c r="X29" s="150">
        <f>778273.7/1000</f>
        <v>778.2737</v>
      </c>
      <c r="Y29" s="151">
        <f>X29/X$24</f>
        <v>0.0359564171137077</v>
      </c>
      <c r="Z29" s="150">
        <f>915702/1000</f>
        <v>915.702</v>
      </c>
      <c r="AA29" s="151">
        <f>Z29/Z$24</f>
        <v>0.041716498077243556</v>
      </c>
      <c r="AB29" s="510">
        <f>929090.5/1000</f>
        <v>929.0905</v>
      </c>
      <c r="AC29" s="151">
        <f>AB29/AB$24</f>
        <v>0.03980724612484964</v>
      </c>
    </row>
    <row r="31" ht="12.75">
      <c r="A31" s="159" t="s">
        <v>1886</v>
      </c>
    </row>
    <row r="32" ht="12.75">
      <c r="A32" s="159" t="s">
        <v>943</v>
      </c>
    </row>
  </sheetData>
  <sheetProtection/>
  <mergeCells count="30">
    <mergeCell ref="AB2:AC2"/>
    <mergeCell ref="P2:Q2"/>
    <mergeCell ref="N2:O2"/>
    <mergeCell ref="R2:S2"/>
    <mergeCell ref="T2:U2"/>
    <mergeCell ref="X2:Y2"/>
    <mergeCell ref="Z2:AA2"/>
    <mergeCell ref="V2:W2"/>
    <mergeCell ref="H2:I2"/>
    <mergeCell ref="J2:K2"/>
    <mergeCell ref="L2:M2"/>
    <mergeCell ref="A2:A3"/>
    <mergeCell ref="B2:C2"/>
    <mergeCell ref="D2:E2"/>
    <mergeCell ref="F2:G2"/>
    <mergeCell ref="A22:A23"/>
    <mergeCell ref="B22:C22"/>
    <mergeCell ref="D22:E22"/>
    <mergeCell ref="F22:G22"/>
    <mergeCell ref="H22:I22"/>
    <mergeCell ref="J22:K22"/>
    <mergeCell ref="L22:M22"/>
    <mergeCell ref="N22:O22"/>
    <mergeCell ref="X22:Y22"/>
    <mergeCell ref="Z22:AA22"/>
    <mergeCell ref="AB22:AC22"/>
    <mergeCell ref="P22:Q22"/>
    <mergeCell ref="R22:S22"/>
    <mergeCell ref="T22:U22"/>
    <mergeCell ref="V22:W22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5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140625" defaultRowHeight="12.75"/>
  <cols>
    <col min="1" max="1" width="40.7109375" style="444" customWidth="1"/>
    <col min="2" max="17" width="8.7109375" style="444" customWidth="1"/>
    <col min="18" max="16384" width="9.140625" style="444" customWidth="1"/>
  </cols>
  <sheetData>
    <row r="1" ht="12.75">
      <c r="P1" s="122" t="s">
        <v>2029</v>
      </c>
    </row>
    <row r="2" ht="14.25">
      <c r="A2" s="175" t="s">
        <v>2670</v>
      </c>
    </row>
    <row r="3" spans="9:16" ht="13.5" thickBot="1">
      <c r="I3" s="176"/>
      <c r="J3" s="177"/>
      <c r="K3" s="177"/>
      <c r="L3" s="177"/>
      <c r="M3" s="177"/>
      <c r="N3" s="177"/>
      <c r="P3" s="179" t="s">
        <v>2671</v>
      </c>
    </row>
    <row r="4" spans="1:16" ht="12.75" customHeight="1" thickBot="1">
      <c r="A4" s="736" t="s">
        <v>1803</v>
      </c>
      <c r="B4" s="734">
        <v>2001</v>
      </c>
      <c r="C4" s="734">
        <f>B4+1</f>
        <v>2002</v>
      </c>
      <c r="D4" s="734">
        <f aca="true" t="shared" si="0" ref="D4:K4">C4+1</f>
        <v>2003</v>
      </c>
      <c r="E4" s="734">
        <f t="shared" si="0"/>
        <v>2004</v>
      </c>
      <c r="F4" s="734">
        <f t="shared" si="0"/>
        <v>2005</v>
      </c>
      <c r="G4" s="734">
        <f t="shared" si="0"/>
        <v>2006</v>
      </c>
      <c r="H4" s="734">
        <f t="shared" si="0"/>
        <v>2007</v>
      </c>
      <c r="I4" s="734">
        <f t="shared" si="0"/>
        <v>2008</v>
      </c>
      <c r="J4" s="734">
        <f t="shared" si="0"/>
        <v>2009</v>
      </c>
      <c r="K4" s="734">
        <f t="shared" si="0"/>
        <v>2010</v>
      </c>
      <c r="L4" s="734">
        <f>K4+1</f>
        <v>2011</v>
      </c>
      <c r="M4" s="734">
        <f>L4+1</f>
        <v>2012</v>
      </c>
      <c r="N4" s="734">
        <f>M4+1</f>
        <v>2013</v>
      </c>
      <c r="O4" s="732" t="s">
        <v>1336</v>
      </c>
      <c r="P4" s="733"/>
    </row>
    <row r="5" spans="1:16" ht="13.5" thickBot="1">
      <c r="A5" s="737"/>
      <c r="B5" s="735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456" t="s">
        <v>2672</v>
      </c>
      <c r="P5" s="456" t="s">
        <v>3031</v>
      </c>
    </row>
    <row r="6" spans="1:17" s="178" customFormat="1" ht="13.5" customHeight="1" thickBot="1">
      <c r="A6" s="457" t="s">
        <v>2673</v>
      </c>
      <c r="B6" s="458">
        <f aca="true" t="shared" si="1" ref="B6:N6">SUM(B7:B13)</f>
        <v>10507</v>
      </c>
      <c r="C6" s="458">
        <f t="shared" si="1"/>
        <v>10761</v>
      </c>
      <c r="D6" s="458">
        <f t="shared" si="1"/>
        <v>10214</v>
      </c>
      <c r="E6" s="458">
        <f t="shared" si="1"/>
        <v>10271</v>
      </c>
      <c r="F6" s="458">
        <f t="shared" si="1"/>
        <v>10539</v>
      </c>
      <c r="G6" s="458">
        <f t="shared" si="1"/>
        <v>11011</v>
      </c>
      <c r="H6" s="458">
        <f t="shared" si="1"/>
        <v>9738</v>
      </c>
      <c r="I6" s="458">
        <f t="shared" si="1"/>
        <v>9966</v>
      </c>
      <c r="J6" s="458">
        <f t="shared" si="1"/>
        <v>9553</v>
      </c>
      <c r="K6" s="458">
        <f t="shared" si="1"/>
        <v>10188</v>
      </c>
      <c r="L6" s="458">
        <f t="shared" si="1"/>
        <v>11919</v>
      </c>
      <c r="M6" s="458">
        <f t="shared" si="1"/>
        <v>11321</v>
      </c>
      <c r="N6" s="458">
        <f t="shared" si="1"/>
        <v>10208</v>
      </c>
      <c r="O6" s="458">
        <f>SUM(B6:N6)</f>
        <v>136196</v>
      </c>
      <c r="P6" s="459">
        <f>SUM(P7:P13)</f>
        <v>1</v>
      </c>
      <c r="Q6" s="87"/>
    </row>
    <row r="7" spans="1:17" ht="13.5" customHeight="1" thickBot="1">
      <c r="A7" s="460" t="s">
        <v>2674</v>
      </c>
      <c r="B7" s="461">
        <v>4497</v>
      </c>
      <c r="C7" s="461">
        <v>4428</v>
      </c>
      <c r="D7" s="461">
        <v>4645</v>
      </c>
      <c r="E7" s="461">
        <v>4537</v>
      </c>
      <c r="F7" s="461">
        <v>4177</v>
      </c>
      <c r="G7" s="461">
        <v>4307</v>
      </c>
      <c r="H7" s="461">
        <v>4773</v>
      </c>
      <c r="I7" s="461">
        <v>4814</v>
      </c>
      <c r="J7" s="461">
        <v>4560</v>
      </c>
      <c r="K7" s="461">
        <v>4931</v>
      </c>
      <c r="L7" s="461">
        <v>6209</v>
      </c>
      <c r="M7" s="461">
        <v>5609</v>
      </c>
      <c r="N7" s="461">
        <v>4781</v>
      </c>
      <c r="O7" s="462">
        <f>SUM(B7:N7)</f>
        <v>62268</v>
      </c>
      <c r="P7" s="463">
        <f aca="true" t="shared" si="2" ref="P7:P13">O7/O$6</f>
        <v>0.4571940438779406</v>
      </c>
      <c r="Q7" s="87"/>
    </row>
    <row r="8" spans="1:17" ht="13.5" customHeight="1" thickBot="1">
      <c r="A8" s="460" t="s">
        <v>2675</v>
      </c>
      <c r="B8" s="461" t="s">
        <v>1980</v>
      </c>
      <c r="C8" s="461" t="s">
        <v>1980</v>
      </c>
      <c r="D8" s="461" t="s">
        <v>1980</v>
      </c>
      <c r="E8" s="461" t="s">
        <v>1980</v>
      </c>
      <c r="F8" s="461" t="s">
        <v>1980</v>
      </c>
      <c r="G8" s="461" t="s">
        <v>1980</v>
      </c>
      <c r="H8" s="461" t="s">
        <v>1980</v>
      </c>
      <c r="I8" s="461" t="s">
        <v>1980</v>
      </c>
      <c r="J8" s="461" t="s">
        <v>1980</v>
      </c>
      <c r="K8" s="461" t="s">
        <v>1980</v>
      </c>
      <c r="L8" s="461" t="s">
        <v>1980</v>
      </c>
      <c r="M8" s="461" t="s">
        <v>1980</v>
      </c>
      <c r="N8" s="461" t="s">
        <v>1980</v>
      </c>
      <c r="O8" s="461" t="s">
        <v>1980</v>
      </c>
      <c r="P8" s="461" t="s">
        <v>1980</v>
      </c>
      <c r="Q8" s="87"/>
    </row>
    <row r="9" spans="1:17" ht="13.5" customHeight="1" thickBot="1">
      <c r="A9" s="460" t="s">
        <v>2676</v>
      </c>
      <c r="B9" s="461">
        <v>18</v>
      </c>
      <c r="C9" s="461">
        <v>16</v>
      </c>
      <c r="D9" s="461">
        <v>13</v>
      </c>
      <c r="E9" s="461">
        <v>270</v>
      </c>
      <c r="F9" s="461">
        <v>384</v>
      </c>
      <c r="G9" s="461">
        <v>375</v>
      </c>
      <c r="H9" s="461">
        <v>236</v>
      </c>
      <c r="I9" s="461">
        <v>156</v>
      </c>
      <c r="J9" s="461">
        <v>13</v>
      </c>
      <c r="K9" s="461">
        <f>59</f>
        <v>59</v>
      </c>
      <c r="L9" s="464">
        <v>351</v>
      </c>
      <c r="M9" s="461">
        <v>308</v>
      </c>
      <c r="N9" s="461">
        <v>224</v>
      </c>
      <c r="O9" s="462">
        <f>SUM(B9:N9)</f>
        <v>2423</v>
      </c>
      <c r="P9" s="463">
        <f t="shared" si="2"/>
        <v>0.017790537167023994</v>
      </c>
      <c r="Q9" s="87"/>
    </row>
    <row r="10" spans="1:17" ht="13.5" customHeight="1" thickBot="1">
      <c r="A10" s="460" t="s">
        <v>2677</v>
      </c>
      <c r="B10" s="461">
        <v>34</v>
      </c>
      <c r="C10" s="461">
        <v>38</v>
      </c>
      <c r="D10" s="461">
        <v>31</v>
      </c>
      <c r="E10" s="461">
        <v>31</v>
      </c>
      <c r="F10" s="461">
        <v>30</v>
      </c>
      <c r="G10" s="461">
        <v>28</v>
      </c>
      <c r="H10" s="461">
        <v>26</v>
      </c>
      <c r="I10" s="461">
        <v>24</v>
      </c>
      <c r="J10" s="461">
        <v>25</v>
      </c>
      <c r="K10" s="461">
        <f>23</f>
        <v>23</v>
      </c>
      <c r="L10" s="464">
        <v>22</v>
      </c>
      <c r="M10" s="461">
        <v>24</v>
      </c>
      <c r="N10" s="461">
        <v>28</v>
      </c>
      <c r="O10" s="462">
        <f>SUM(B10:N10)</f>
        <v>364</v>
      </c>
      <c r="P10" s="463">
        <f t="shared" si="2"/>
        <v>0.0026726188728009633</v>
      </c>
      <c r="Q10" s="87"/>
    </row>
    <row r="11" spans="1:17" ht="13.5" customHeight="1" thickBot="1">
      <c r="A11" s="460" t="s">
        <v>2678</v>
      </c>
      <c r="B11" s="461" t="s">
        <v>1980</v>
      </c>
      <c r="C11" s="461" t="s">
        <v>1980</v>
      </c>
      <c r="D11" s="461" t="s">
        <v>1980</v>
      </c>
      <c r="E11" s="461" t="s">
        <v>1980</v>
      </c>
      <c r="F11" s="461" t="s">
        <v>1980</v>
      </c>
      <c r="G11" s="461" t="s">
        <v>1980</v>
      </c>
      <c r="H11" s="461" t="s">
        <v>1980</v>
      </c>
      <c r="I11" s="461" t="s">
        <v>1980</v>
      </c>
      <c r="J11" s="461" t="s">
        <v>1980</v>
      </c>
      <c r="K11" s="461" t="s">
        <v>1980</v>
      </c>
      <c r="L11" s="461" t="s">
        <v>1980</v>
      </c>
      <c r="M11" s="461" t="s">
        <v>1980</v>
      </c>
      <c r="N11" s="461" t="s">
        <v>1980</v>
      </c>
      <c r="O11" s="461" t="s">
        <v>1980</v>
      </c>
      <c r="P11" s="461" t="s">
        <v>1980</v>
      </c>
      <c r="Q11" s="87"/>
    </row>
    <row r="12" spans="1:17" ht="13.5" customHeight="1" thickBot="1">
      <c r="A12" s="445" t="s">
        <v>2679</v>
      </c>
      <c r="B12" s="462">
        <f>532+149</f>
        <v>681</v>
      </c>
      <c r="C12" s="462">
        <f>627+189</f>
        <v>816</v>
      </c>
      <c r="D12" s="461">
        <f>671+260</f>
        <v>931</v>
      </c>
      <c r="E12" s="461">
        <f>717+272</f>
        <v>989</v>
      </c>
      <c r="F12" s="461">
        <f>691+406</f>
        <v>1097</v>
      </c>
      <c r="G12" s="461">
        <f>735+404</f>
        <v>1139</v>
      </c>
      <c r="H12" s="461">
        <f>689+286</f>
        <v>975</v>
      </c>
      <c r="I12" s="461">
        <f>709+33+253</f>
        <v>995</v>
      </c>
      <c r="J12" s="461">
        <f>726+33+318</f>
        <v>1077</v>
      </c>
      <c r="K12" s="461">
        <f>788+43+495</f>
        <v>1326</v>
      </c>
      <c r="L12" s="461">
        <f>851+47+334</f>
        <v>1232</v>
      </c>
      <c r="M12" s="461">
        <f>860+48+452</f>
        <v>1360</v>
      </c>
      <c r="N12" s="461">
        <f>871+52+586</f>
        <v>1509</v>
      </c>
      <c r="O12" s="462">
        <f>SUM(B12:N12)</f>
        <v>14127</v>
      </c>
      <c r="P12" s="463">
        <f t="shared" si="2"/>
        <v>0.10372551323093189</v>
      </c>
      <c r="Q12" s="87"/>
    </row>
    <row r="13" spans="1:17" ht="13.5" customHeight="1" thickBot="1">
      <c r="A13" s="445" t="s">
        <v>2680</v>
      </c>
      <c r="B13" s="462">
        <v>5277</v>
      </c>
      <c r="C13" s="462">
        <v>5463</v>
      </c>
      <c r="D13" s="461">
        <v>4594</v>
      </c>
      <c r="E13" s="461">
        <v>4444</v>
      </c>
      <c r="F13" s="461">
        <v>4851</v>
      </c>
      <c r="G13" s="461">
        <v>5162</v>
      </c>
      <c r="H13" s="461">
        <v>3728</v>
      </c>
      <c r="I13" s="461">
        <v>3977</v>
      </c>
      <c r="J13" s="461">
        <v>3878</v>
      </c>
      <c r="K13" s="461">
        <v>3849</v>
      </c>
      <c r="L13" s="461">
        <v>4105</v>
      </c>
      <c r="M13" s="461">
        <v>4020</v>
      </c>
      <c r="N13" s="461">
        <v>3666</v>
      </c>
      <c r="O13" s="462">
        <f aca="true" t="shared" si="3" ref="O13:O22">SUM(B13:N13)</f>
        <v>57014</v>
      </c>
      <c r="P13" s="463">
        <f t="shared" si="2"/>
        <v>0.41861728685130256</v>
      </c>
      <c r="Q13" s="87"/>
    </row>
    <row r="14" spans="1:17" s="178" customFormat="1" ht="13.5" thickBot="1">
      <c r="A14" s="457" t="s">
        <v>2682</v>
      </c>
      <c r="B14" s="465">
        <v>16</v>
      </c>
      <c r="C14" s="465">
        <v>24</v>
      </c>
      <c r="D14" s="465">
        <v>48</v>
      </c>
      <c r="E14" s="465">
        <v>51</v>
      </c>
      <c r="F14" s="465">
        <v>85</v>
      </c>
      <c r="G14" s="465">
        <v>96</v>
      </c>
      <c r="H14" s="465">
        <v>122</v>
      </c>
      <c r="I14" s="465">
        <v>151</v>
      </c>
      <c r="J14" s="465">
        <v>97</v>
      </c>
      <c r="K14" s="465">
        <v>201</v>
      </c>
      <c r="L14" s="465">
        <v>215</v>
      </c>
      <c r="M14" s="465">
        <v>284</v>
      </c>
      <c r="N14" s="465">
        <v>332</v>
      </c>
      <c r="O14" s="458">
        <f t="shared" si="3"/>
        <v>1722</v>
      </c>
      <c r="P14" s="467">
        <v>1</v>
      </c>
      <c r="Q14" s="87"/>
    </row>
    <row r="15" spans="1:17" s="178" customFormat="1" ht="13.5" thickBot="1">
      <c r="A15" s="457" t="s">
        <v>2683</v>
      </c>
      <c r="B15" s="465">
        <f aca="true" t="shared" si="4" ref="B15:H15">SUM(B16:B22)</f>
        <v>11613</v>
      </c>
      <c r="C15" s="465">
        <f t="shared" si="4"/>
        <v>11338</v>
      </c>
      <c r="D15" s="465">
        <f t="shared" si="4"/>
        <v>11407</v>
      </c>
      <c r="E15" s="465">
        <f t="shared" si="4"/>
        <v>12171</v>
      </c>
      <c r="F15" s="465">
        <f t="shared" si="4"/>
        <v>12908</v>
      </c>
      <c r="G15" s="465">
        <f t="shared" si="4"/>
        <v>14096</v>
      </c>
      <c r="H15" s="465">
        <f t="shared" si="4"/>
        <v>14952</v>
      </c>
      <c r="I15" s="465">
        <v>15082</v>
      </c>
      <c r="J15" s="465">
        <f>SUM(J16:J22)</f>
        <v>11939</v>
      </c>
      <c r="K15" s="465">
        <f>SUM(K16:K22)</f>
        <v>11743</v>
      </c>
      <c r="L15" s="465">
        <f>SUM(L16:L22)</f>
        <v>11848</v>
      </c>
      <c r="M15" s="465">
        <f>SUM(M16:M22)</f>
        <v>12039</v>
      </c>
      <c r="N15" s="465">
        <f>SUM(N16:N22)</f>
        <v>12015</v>
      </c>
      <c r="O15" s="458">
        <f t="shared" si="3"/>
        <v>163151</v>
      </c>
      <c r="P15" s="467">
        <f>SUM(P16:P22)</f>
        <v>0.9999325777960295</v>
      </c>
      <c r="Q15" s="87"/>
    </row>
    <row r="16" spans="1:17" ht="13.5" thickBot="1">
      <c r="A16" s="460" t="s">
        <v>2674</v>
      </c>
      <c r="B16" s="461">
        <v>2457</v>
      </c>
      <c r="C16" s="461">
        <v>2418</v>
      </c>
      <c r="D16" s="461">
        <v>2454</v>
      </c>
      <c r="E16" s="461">
        <v>2855</v>
      </c>
      <c r="F16" s="461">
        <v>2490</v>
      </c>
      <c r="G16" s="461">
        <v>2338</v>
      </c>
      <c r="H16" s="461">
        <v>2877</v>
      </c>
      <c r="I16" s="461">
        <v>3157</v>
      </c>
      <c r="J16" s="461">
        <v>1702</v>
      </c>
      <c r="K16" s="461">
        <v>1700</v>
      </c>
      <c r="L16" s="461">
        <v>2001</v>
      </c>
      <c r="M16" s="461">
        <v>1509</v>
      </c>
      <c r="N16" s="461">
        <v>959</v>
      </c>
      <c r="O16" s="462">
        <f t="shared" si="3"/>
        <v>28917</v>
      </c>
      <c r="P16" s="463">
        <f aca="true" t="shared" si="5" ref="P16:P22">O16/O$15</f>
        <v>0.17724071565604868</v>
      </c>
      <c r="Q16" s="87"/>
    </row>
    <row r="17" spans="1:17" ht="13.5" thickBot="1">
      <c r="A17" s="460" t="s">
        <v>2675</v>
      </c>
      <c r="B17" s="461">
        <v>146</v>
      </c>
      <c r="C17" s="461">
        <v>106</v>
      </c>
      <c r="D17" s="461">
        <v>175</v>
      </c>
      <c r="E17" s="461">
        <v>102</v>
      </c>
      <c r="F17" s="461">
        <v>74</v>
      </c>
      <c r="G17" s="461">
        <v>121</v>
      </c>
      <c r="H17" s="461">
        <v>186</v>
      </c>
      <c r="I17" s="461">
        <v>75</v>
      </c>
      <c r="J17" s="461">
        <v>48</v>
      </c>
      <c r="K17" s="461">
        <v>47</v>
      </c>
      <c r="L17" s="461">
        <v>42</v>
      </c>
      <c r="M17" s="461">
        <v>45</v>
      </c>
      <c r="N17" s="461">
        <v>48</v>
      </c>
      <c r="O17" s="462">
        <f t="shared" si="3"/>
        <v>1215</v>
      </c>
      <c r="P17" s="463">
        <f t="shared" si="5"/>
        <v>0.00744708889311129</v>
      </c>
      <c r="Q17" s="87"/>
    </row>
    <row r="18" spans="1:17" ht="13.5" thickBot="1">
      <c r="A18" s="460" t="s">
        <v>2676</v>
      </c>
      <c r="B18" s="461">
        <v>2730</v>
      </c>
      <c r="C18" s="461">
        <v>2498</v>
      </c>
      <c r="D18" s="461">
        <v>2355</v>
      </c>
      <c r="E18" s="461">
        <v>2413</v>
      </c>
      <c r="F18" s="461">
        <v>2462</v>
      </c>
      <c r="G18" s="461">
        <v>2608</v>
      </c>
      <c r="H18" s="461">
        <v>2753</v>
      </c>
      <c r="I18" s="461">
        <v>2804</v>
      </c>
      <c r="J18" s="461">
        <v>2131</v>
      </c>
      <c r="K18" s="461">
        <v>2131</v>
      </c>
      <c r="L18" s="461">
        <v>2264</v>
      </c>
      <c r="M18" s="461">
        <v>2042</v>
      </c>
      <c r="N18" s="461">
        <v>2225</v>
      </c>
      <c r="O18" s="462">
        <f t="shared" si="3"/>
        <v>31416</v>
      </c>
      <c r="P18" s="463">
        <f t="shared" si="5"/>
        <v>0.19255781453990475</v>
      </c>
      <c r="Q18" s="87"/>
    </row>
    <row r="19" spans="1:17" ht="13.5" thickBot="1">
      <c r="A19" s="460" t="s">
        <v>2677</v>
      </c>
      <c r="B19" s="461">
        <v>5497</v>
      </c>
      <c r="C19" s="461">
        <v>5346</v>
      </c>
      <c r="D19" s="461">
        <v>5293</v>
      </c>
      <c r="E19" s="461">
        <v>5765</v>
      </c>
      <c r="F19" s="461">
        <v>6421</v>
      </c>
      <c r="G19" s="461">
        <v>7265</v>
      </c>
      <c r="H19" s="461">
        <v>7259</v>
      </c>
      <c r="I19" s="461">
        <v>7414</v>
      </c>
      <c r="J19" s="461">
        <v>6324</v>
      </c>
      <c r="K19" s="461">
        <v>6072</v>
      </c>
      <c r="L19" s="461">
        <v>5861</v>
      </c>
      <c r="M19" s="461">
        <v>6450</v>
      </c>
      <c r="N19" s="461">
        <v>6526</v>
      </c>
      <c r="O19" s="462">
        <f t="shared" si="3"/>
        <v>81493</v>
      </c>
      <c r="P19" s="463">
        <f t="shared" si="5"/>
        <v>0.4994943334702208</v>
      </c>
      <c r="Q19" s="87"/>
    </row>
    <row r="20" spans="1:17" ht="13.5" thickBot="1">
      <c r="A20" s="460" t="s">
        <v>2678</v>
      </c>
      <c r="B20" s="461">
        <v>689</v>
      </c>
      <c r="C20" s="461">
        <v>795</v>
      </c>
      <c r="D20" s="461">
        <v>1020</v>
      </c>
      <c r="E20" s="461">
        <v>972</v>
      </c>
      <c r="F20" s="461">
        <v>1392</v>
      </c>
      <c r="G20" s="461">
        <v>1666</v>
      </c>
      <c r="H20" s="461">
        <v>1614</v>
      </c>
      <c r="I20" s="461">
        <v>1355</v>
      </c>
      <c r="J20" s="461">
        <v>1505</v>
      </c>
      <c r="K20" s="461">
        <f>1686+7</f>
        <v>1693</v>
      </c>
      <c r="L20" s="461">
        <v>1541</v>
      </c>
      <c r="M20" s="461">
        <v>1694</v>
      </c>
      <c r="N20" s="461">
        <v>1872</v>
      </c>
      <c r="O20" s="462">
        <f t="shared" si="3"/>
        <v>17808</v>
      </c>
      <c r="P20" s="463">
        <f t="shared" si="5"/>
        <v>0.1091504189370583</v>
      </c>
      <c r="Q20" s="87"/>
    </row>
    <row r="21" spans="1:17" ht="13.5" thickBot="1">
      <c r="A21" s="468" t="s">
        <v>2065</v>
      </c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2">
        <v>14</v>
      </c>
      <c r="M21" s="462">
        <v>97</v>
      </c>
      <c r="N21" s="462">
        <v>97</v>
      </c>
      <c r="O21" s="462">
        <f t="shared" si="3"/>
        <v>208</v>
      </c>
      <c r="P21" s="469">
        <f t="shared" si="5"/>
        <v>0.0012748925841704923</v>
      </c>
      <c r="Q21" s="87"/>
    </row>
    <row r="22" spans="1:17" ht="13.5" thickBot="1">
      <c r="A22" s="468" t="s">
        <v>1128</v>
      </c>
      <c r="B22" s="461">
        <v>94</v>
      </c>
      <c r="C22" s="461">
        <v>175</v>
      </c>
      <c r="D22" s="461">
        <v>110</v>
      </c>
      <c r="E22" s="461">
        <v>64</v>
      </c>
      <c r="F22" s="461">
        <v>69</v>
      </c>
      <c r="G22" s="461">
        <v>98</v>
      </c>
      <c r="H22" s="461">
        <v>263</v>
      </c>
      <c r="I22" s="461">
        <v>266</v>
      </c>
      <c r="J22" s="461">
        <v>229</v>
      </c>
      <c r="K22" s="461">
        <v>100</v>
      </c>
      <c r="L22" s="461">
        <v>125</v>
      </c>
      <c r="M22" s="461">
        <v>202</v>
      </c>
      <c r="N22" s="461">
        <v>288</v>
      </c>
      <c r="O22" s="462">
        <f t="shared" si="3"/>
        <v>2083</v>
      </c>
      <c r="P22" s="469">
        <f t="shared" si="5"/>
        <v>0.012767313715515075</v>
      </c>
      <c r="Q22" s="87"/>
    </row>
    <row r="23" spans="1:16" s="178" customFormat="1" ht="13.5" thickBot="1">
      <c r="A23" s="457" t="s">
        <v>2684</v>
      </c>
      <c r="B23" s="465">
        <f aca="true" t="shared" si="6" ref="B23:N23">SUM(B24:B29)</f>
        <v>189</v>
      </c>
      <c r="C23" s="465">
        <f t="shared" si="6"/>
        <v>-461</v>
      </c>
      <c r="D23" s="465">
        <f t="shared" si="6"/>
        <v>293</v>
      </c>
      <c r="E23" s="465">
        <f t="shared" si="6"/>
        <v>-433</v>
      </c>
      <c r="F23" s="465">
        <f t="shared" si="6"/>
        <v>44</v>
      </c>
      <c r="G23" s="465">
        <f t="shared" si="6"/>
        <v>159</v>
      </c>
      <c r="H23" s="465">
        <f t="shared" si="6"/>
        <v>-88</v>
      </c>
      <c r="I23" s="465">
        <f t="shared" si="6"/>
        <v>-601</v>
      </c>
      <c r="J23" s="465">
        <f t="shared" si="6"/>
        <v>-70</v>
      </c>
      <c r="K23" s="465">
        <f t="shared" si="6"/>
        <v>255</v>
      </c>
      <c r="L23" s="465">
        <f t="shared" si="6"/>
        <v>-44</v>
      </c>
      <c r="M23" s="465">
        <f t="shared" si="6"/>
        <v>-35</v>
      </c>
      <c r="N23" s="465">
        <f t="shared" si="6"/>
        <v>-88</v>
      </c>
      <c r="O23" s="458">
        <f>SUM(B23:N23)</f>
        <v>-880</v>
      </c>
      <c r="P23" s="467">
        <f>SUM(P24:P29)</f>
        <v>1.0000000000000002</v>
      </c>
    </row>
    <row r="24" spans="1:16" ht="13.5" thickBot="1">
      <c r="A24" s="460" t="s">
        <v>2674</v>
      </c>
      <c r="B24" s="461">
        <v>166</v>
      </c>
      <c r="C24" s="461">
        <v>-382</v>
      </c>
      <c r="D24" s="461">
        <v>155</v>
      </c>
      <c r="E24" s="461">
        <v>-307</v>
      </c>
      <c r="F24" s="461">
        <v>224</v>
      </c>
      <c r="G24" s="461">
        <v>223</v>
      </c>
      <c r="H24" s="461">
        <v>-40</v>
      </c>
      <c r="I24" s="461">
        <v>-520</v>
      </c>
      <c r="J24" s="461">
        <v>46</v>
      </c>
      <c r="K24" s="461">
        <v>230</v>
      </c>
      <c r="L24" s="461">
        <v>-86</v>
      </c>
      <c r="M24" s="461">
        <v>-181</v>
      </c>
      <c r="N24" s="461">
        <v>163</v>
      </c>
      <c r="O24" s="462">
        <f aca="true" t="shared" si="7" ref="O24:O29">SUM(B24:N24)</f>
        <v>-309</v>
      </c>
      <c r="P24" s="463">
        <f aca="true" t="shared" si="8" ref="P24:P29">O24/O$23</f>
        <v>0.35113636363636364</v>
      </c>
    </row>
    <row r="25" spans="1:16" ht="13.5" thickBot="1">
      <c r="A25" s="460" t="s">
        <v>2675</v>
      </c>
      <c r="B25" s="461">
        <v>-1</v>
      </c>
      <c r="C25" s="461">
        <v>21</v>
      </c>
      <c r="D25" s="461">
        <v>-63</v>
      </c>
      <c r="E25" s="461">
        <v>6</v>
      </c>
      <c r="F25" s="461">
        <v>3</v>
      </c>
      <c r="G25" s="461">
        <v>3</v>
      </c>
      <c r="H25" s="461">
        <v>6</v>
      </c>
      <c r="I25" s="461">
        <v>-27</v>
      </c>
      <c r="J25" s="461">
        <v>-6</v>
      </c>
      <c r="K25" s="461">
        <v>9</v>
      </c>
      <c r="L25" s="461">
        <v>-8</v>
      </c>
      <c r="M25" s="461">
        <v>-3</v>
      </c>
      <c r="N25" s="461">
        <v>21</v>
      </c>
      <c r="O25" s="462">
        <f t="shared" si="7"/>
        <v>-39</v>
      </c>
      <c r="P25" s="463">
        <f t="shared" si="8"/>
        <v>0.04431818181818182</v>
      </c>
    </row>
    <row r="26" spans="1:16" ht="13.5" thickBot="1">
      <c r="A26" s="460" t="s">
        <v>2676</v>
      </c>
      <c r="B26" s="461">
        <v>-10</v>
      </c>
      <c r="C26" s="461">
        <v>-110</v>
      </c>
      <c r="D26" s="461">
        <v>132</v>
      </c>
      <c r="E26" s="461">
        <v>-165</v>
      </c>
      <c r="F26" s="461">
        <v>-29</v>
      </c>
      <c r="G26" s="461">
        <v>-79</v>
      </c>
      <c r="H26" s="461">
        <v>21</v>
      </c>
      <c r="I26" s="461">
        <v>-47</v>
      </c>
      <c r="J26" s="461">
        <v>17</v>
      </c>
      <c r="K26" s="461">
        <v>110</v>
      </c>
      <c r="L26" s="461">
        <v>16</v>
      </c>
      <c r="M26" s="461">
        <v>101</v>
      </c>
      <c r="N26" s="461">
        <v>-62</v>
      </c>
      <c r="O26" s="462">
        <f t="shared" si="7"/>
        <v>-105</v>
      </c>
      <c r="P26" s="463">
        <f t="shared" si="8"/>
        <v>0.11931818181818182</v>
      </c>
    </row>
    <row r="27" spans="1:16" ht="13.5" thickBot="1">
      <c r="A27" s="460" t="s">
        <v>2677</v>
      </c>
      <c r="B27" s="461">
        <v>-75</v>
      </c>
      <c r="C27" s="461">
        <v>-20</v>
      </c>
      <c r="D27" s="461">
        <v>-32</v>
      </c>
      <c r="E27" s="461">
        <v>-34</v>
      </c>
      <c r="F27" s="461">
        <v>117</v>
      </c>
      <c r="G27" s="461">
        <v>-16</v>
      </c>
      <c r="H27" s="461">
        <v>-40</v>
      </c>
      <c r="I27" s="461">
        <v>-97</v>
      </c>
      <c r="J27" s="461">
        <v>65</v>
      </c>
      <c r="K27" s="461" t="s">
        <v>1980</v>
      </c>
      <c r="L27" s="461">
        <v>47</v>
      </c>
      <c r="M27" s="461">
        <v>8</v>
      </c>
      <c r="N27" s="461">
        <v>-41</v>
      </c>
      <c r="O27" s="462">
        <f t="shared" si="7"/>
        <v>-118</v>
      </c>
      <c r="P27" s="463">
        <f t="shared" si="8"/>
        <v>0.1340909090909091</v>
      </c>
    </row>
    <row r="28" spans="1:16" ht="13.5" thickBot="1">
      <c r="A28" s="460" t="s">
        <v>2678</v>
      </c>
      <c r="B28" s="461">
        <v>107</v>
      </c>
      <c r="C28" s="461">
        <v>28</v>
      </c>
      <c r="D28" s="461">
        <v>103</v>
      </c>
      <c r="E28" s="461">
        <v>77</v>
      </c>
      <c r="F28" s="461">
        <v>-272</v>
      </c>
      <c r="G28" s="461">
        <v>29</v>
      </c>
      <c r="H28" s="461">
        <v>-27</v>
      </c>
      <c r="I28" s="461">
        <v>90</v>
      </c>
      <c r="J28" s="461">
        <v>-182</v>
      </c>
      <c r="K28" s="461">
        <v>-101</v>
      </c>
      <c r="L28" s="461">
        <v>-15</v>
      </c>
      <c r="M28" s="461">
        <v>54</v>
      </c>
      <c r="N28" s="461">
        <v>-164</v>
      </c>
      <c r="O28" s="462">
        <f t="shared" si="7"/>
        <v>-273</v>
      </c>
      <c r="P28" s="463">
        <f t="shared" si="8"/>
        <v>0.31022727272727274</v>
      </c>
    </row>
    <row r="29" spans="1:16" ht="13.5" thickBot="1">
      <c r="A29" s="470" t="s">
        <v>2065</v>
      </c>
      <c r="B29" s="461">
        <v>2</v>
      </c>
      <c r="C29" s="461">
        <v>2</v>
      </c>
      <c r="D29" s="461">
        <v>-2</v>
      </c>
      <c r="E29" s="461">
        <v>-10</v>
      </c>
      <c r="F29" s="461">
        <v>1</v>
      </c>
      <c r="G29" s="461">
        <v>-1</v>
      </c>
      <c r="H29" s="461">
        <v>-8</v>
      </c>
      <c r="I29" s="461"/>
      <c r="J29" s="461">
        <v>-10</v>
      </c>
      <c r="K29" s="461">
        <v>7</v>
      </c>
      <c r="L29" s="461">
        <v>2</v>
      </c>
      <c r="M29" s="461">
        <v>-14</v>
      </c>
      <c r="N29" s="461">
        <v>-5</v>
      </c>
      <c r="O29" s="462">
        <f t="shared" si="7"/>
        <v>-36</v>
      </c>
      <c r="P29" s="463">
        <f t="shared" si="8"/>
        <v>0.04090909090909091</v>
      </c>
    </row>
    <row r="30" spans="1:16" s="178" customFormat="1" ht="13.5" thickBot="1">
      <c r="A30" s="457" t="s">
        <v>2685</v>
      </c>
      <c r="B30" s="471">
        <f aca="true" t="shared" si="9" ref="B30:N30">SUM(B31:B37)</f>
        <v>2761</v>
      </c>
      <c r="C30" s="471">
        <f t="shared" si="9"/>
        <v>2355</v>
      </c>
      <c r="D30" s="471">
        <f t="shared" si="9"/>
        <v>2217</v>
      </c>
      <c r="E30" s="471">
        <f t="shared" si="9"/>
        <v>2927</v>
      </c>
      <c r="F30" s="471">
        <f t="shared" si="9"/>
        <v>3342</v>
      </c>
      <c r="G30" s="471">
        <f t="shared" si="9"/>
        <v>4499</v>
      </c>
      <c r="H30" s="471">
        <f t="shared" si="9"/>
        <v>4507</v>
      </c>
      <c r="I30" s="471">
        <f t="shared" si="9"/>
        <v>4568</v>
      </c>
      <c r="J30" s="471">
        <f t="shared" si="9"/>
        <v>3868</v>
      </c>
      <c r="K30" s="471">
        <f t="shared" si="9"/>
        <v>4507</v>
      </c>
      <c r="L30" s="471">
        <f t="shared" si="9"/>
        <v>4757</v>
      </c>
      <c r="M30" s="471">
        <f t="shared" si="9"/>
        <v>5240</v>
      </c>
      <c r="N30" s="471">
        <f t="shared" si="9"/>
        <v>5423</v>
      </c>
      <c r="O30" s="458">
        <f>SUM(B30:N30)</f>
        <v>50971</v>
      </c>
      <c r="P30" s="472">
        <f>SUM(P31:P37)</f>
        <v>1</v>
      </c>
    </row>
    <row r="31" spans="1:16" ht="13.5" thickBot="1">
      <c r="A31" s="460" t="s">
        <v>2674</v>
      </c>
      <c r="B31" s="461" t="s">
        <v>1980</v>
      </c>
      <c r="C31" s="461" t="s">
        <v>1980</v>
      </c>
      <c r="D31" s="461">
        <v>2</v>
      </c>
      <c r="E31" s="461">
        <v>5</v>
      </c>
      <c r="F31" s="461" t="s">
        <v>1980</v>
      </c>
      <c r="G31" s="461" t="s">
        <v>1980</v>
      </c>
      <c r="H31" s="461">
        <v>1</v>
      </c>
      <c r="I31" s="461">
        <v>16</v>
      </c>
      <c r="J31" s="461">
        <v>5</v>
      </c>
      <c r="K31" s="461">
        <v>46</v>
      </c>
      <c r="L31" s="461">
        <v>63</v>
      </c>
      <c r="M31" s="461">
        <v>68</v>
      </c>
      <c r="N31" s="461">
        <v>37</v>
      </c>
      <c r="O31" s="462">
        <f aca="true" t="shared" si="10" ref="O31:O37">SUM(B31:N31)</f>
        <v>243</v>
      </c>
      <c r="P31" s="463">
        <f aca="true" t="shared" si="11" ref="P31:P37">O31/O$30</f>
        <v>0.004767416766396578</v>
      </c>
    </row>
    <row r="32" spans="1:16" ht="13.5" thickBot="1">
      <c r="A32" s="460" t="s">
        <v>2675</v>
      </c>
      <c r="B32" s="461" t="s">
        <v>1980</v>
      </c>
      <c r="C32" s="461">
        <v>22</v>
      </c>
      <c r="D32" s="461" t="s">
        <v>1980</v>
      </c>
      <c r="E32" s="461">
        <v>28</v>
      </c>
      <c r="F32" s="461">
        <v>13</v>
      </c>
      <c r="G32" s="461">
        <v>3</v>
      </c>
      <c r="H32" s="461" t="s">
        <v>1980</v>
      </c>
      <c r="I32" s="461" t="s">
        <v>1980</v>
      </c>
      <c r="J32" s="461" t="s">
        <v>1980</v>
      </c>
      <c r="K32" s="461" t="s">
        <v>1980</v>
      </c>
      <c r="L32" s="461" t="s">
        <v>1980</v>
      </c>
      <c r="M32" s="461" t="s">
        <v>1980</v>
      </c>
      <c r="N32" s="461" t="s">
        <v>1980</v>
      </c>
      <c r="O32" s="462">
        <f t="shared" si="10"/>
        <v>66</v>
      </c>
      <c r="P32" s="463">
        <f t="shared" si="11"/>
        <v>0.0012948539365521571</v>
      </c>
    </row>
    <row r="33" spans="1:16" ht="13.5" thickBot="1">
      <c r="A33" s="460" t="s">
        <v>2676</v>
      </c>
      <c r="B33" s="461" t="s">
        <v>1980</v>
      </c>
      <c r="C33" s="461" t="s">
        <v>1980</v>
      </c>
      <c r="D33" s="461" t="s">
        <v>1980</v>
      </c>
      <c r="E33" s="461" t="s">
        <v>1980</v>
      </c>
      <c r="F33" s="461" t="s">
        <v>1980</v>
      </c>
      <c r="G33" s="461" t="s">
        <v>1980</v>
      </c>
      <c r="H33" s="461" t="s">
        <v>1980</v>
      </c>
      <c r="I33" s="461" t="s">
        <v>1980</v>
      </c>
      <c r="J33" s="461" t="s">
        <v>1980</v>
      </c>
      <c r="K33" s="461" t="s">
        <v>1980</v>
      </c>
      <c r="L33" s="461" t="s">
        <v>1980</v>
      </c>
      <c r="M33" s="461" t="s">
        <v>1980</v>
      </c>
      <c r="N33" s="461" t="s">
        <v>1980</v>
      </c>
      <c r="O33" s="462">
        <f t="shared" si="10"/>
        <v>0</v>
      </c>
      <c r="P33" s="463">
        <f t="shared" si="11"/>
        <v>0</v>
      </c>
    </row>
    <row r="34" spans="1:16" ht="13.5" thickBot="1">
      <c r="A34" s="460" t="s">
        <v>2677</v>
      </c>
      <c r="B34" s="461" t="s">
        <v>1980</v>
      </c>
      <c r="C34" s="461" t="s">
        <v>1980</v>
      </c>
      <c r="D34" s="461" t="s">
        <v>1980</v>
      </c>
      <c r="E34" s="461" t="s">
        <v>1980</v>
      </c>
      <c r="F34" s="461" t="s">
        <v>1980</v>
      </c>
      <c r="G34" s="461" t="s">
        <v>1980</v>
      </c>
      <c r="H34" s="461">
        <v>124</v>
      </c>
      <c r="I34" s="461" t="s">
        <v>1980</v>
      </c>
      <c r="J34" s="461" t="s">
        <v>1980</v>
      </c>
      <c r="K34" s="461" t="s">
        <v>1980</v>
      </c>
      <c r="L34" s="461" t="s">
        <v>1980</v>
      </c>
      <c r="M34" s="461" t="s">
        <v>1980</v>
      </c>
      <c r="N34" s="461" t="s">
        <v>1980</v>
      </c>
      <c r="O34" s="462">
        <f t="shared" si="10"/>
        <v>124</v>
      </c>
      <c r="P34" s="463">
        <f t="shared" si="11"/>
        <v>0.0024327558807949617</v>
      </c>
    </row>
    <row r="35" spans="1:16" ht="13.5" thickBot="1">
      <c r="A35" s="460" t="s">
        <v>2678</v>
      </c>
      <c r="B35" s="461">
        <v>2066</v>
      </c>
      <c r="C35" s="461">
        <v>1610</v>
      </c>
      <c r="D35" s="461">
        <v>1625</v>
      </c>
      <c r="E35" s="461">
        <v>2306</v>
      </c>
      <c r="F35" s="461">
        <v>2583</v>
      </c>
      <c r="G35" s="461">
        <v>3700</v>
      </c>
      <c r="H35" s="461">
        <v>3709</v>
      </c>
      <c r="I35" s="461">
        <v>3797</v>
      </c>
      <c r="J35" s="461">
        <v>3166</v>
      </c>
      <c r="K35" s="461">
        <v>3572</v>
      </c>
      <c r="L35" s="461">
        <v>3562</v>
      </c>
      <c r="M35" s="461">
        <v>4159</v>
      </c>
      <c r="N35" s="461">
        <v>4464</v>
      </c>
      <c r="O35" s="462">
        <f t="shared" si="10"/>
        <v>40319</v>
      </c>
      <c r="P35" s="463">
        <f t="shared" si="11"/>
        <v>0.7910184222400973</v>
      </c>
    </row>
    <row r="36" spans="1:16" ht="13.5" thickBot="1">
      <c r="A36" s="445" t="s">
        <v>2679</v>
      </c>
      <c r="B36" s="461">
        <v>6</v>
      </c>
      <c r="C36" s="461">
        <v>6</v>
      </c>
      <c r="D36" s="461">
        <v>8</v>
      </c>
      <c r="E36" s="461">
        <v>19</v>
      </c>
      <c r="F36" s="461">
        <v>26</v>
      </c>
      <c r="G36" s="461">
        <v>32</v>
      </c>
      <c r="H36" s="461">
        <v>25</v>
      </c>
      <c r="I36" s="461">
        <v>29</v>
      </c>
      <c r="J36" s="461">
        <v>32</v>
      </c>
      <c r="K36" s="461">
        <v>63</v>
      </c>
      <c r="L36" s="461">
        <v>91</v>
      </c>
      <c r="M36" s="461">
        <v>96</v>
      </c>
      <c r="N36" s="461">
        <v>103</v>
      </c>
      <c r="O36" s="462">
        <f t="shared" si="10"/>
        <v>536</v>
      </c>
      <c r="P36" s="463">
        <f t="shared" si="11"/>
        <v>0.010515783484726609</v>
      </c>
    </row>
    <row r="37" spans="1:16" ht="13.5" thickBot="1">
      <c r="A37" s="468" t="s">
        <v>1128</v>
      </c>
      <c r="B37" s="461">
        <v>689</v>
      </c>
      <c r="C37" s="461">
        <v>717</v>
      </c>
      <c r="D37" s="461">
        <v>582</v>
      </c>
      <c r="E37" s="461">
        <v>569</v>
      </c>
      <c r="F37" s="461">
        <v>720</v>
      </c>
      <c r="G37" s="461">
        <v>764</v>
      </c>
      <c r="H37" s="461">
        <v>648</v>
      </c>
      <c r="I37" s="461">
        <v>726</v>
      </c>
      <c r="J37" s="461">
        <v>665</v>
      </c>
      <c r="K37" s="461">
        <v>826</v>
      </c>
      <c r="L37" s="461">
        <v>1041</v>
      </c>
      <c r="M37" s="461">
        <v>917</v>
      </c>
      <c r="N37" s="461">
        <v>819</v>
      </c>
      <c r="O37" s="462">
        <f t="shared" si="10"/>
        <v>9683</v>
      </c>
      <c r="P37" s="463">
        <f t="shared" si="11"/>
        <v>0.1899707676914324</v>
      </c>
    </row>
    <row r="38" spans="1:16" ht="13.5" thickBot="1">
      <c r="A38" s="473" t="s">
        <v>1890</v>
      </c>
      <c r="B38" s="465">
        <v>96</v>
      </c>
      <c r="C38" s="465">
        <v>105</v>
      </c>
      <c r="D38" s="465">
        <v>137</v>
      </c>
      <c r="E38" s="465">
        <v>115</v>
      </c>
      <c r="F38" s="465">
        <v>110</v>
      </c>
      <c r="G38" s="465">
        <v>106</v>
      </c>
      <c r="H38" s="465">
        <v>52</v>
      </c>
      <c r="I38" s="465">
        <v>122</v>
      </c>
      <c r="J38" s="465">
        <v>207</v>
      </c>
      <c r="K38" s="465">
        <v>97</v>
      </c>
      <c r="L38" s="465">
        <v>75</v>
      </c>
      <c r="M38" s="465">
        <v>64</v>
      </c>
      <c r="N38" s="465">
        <v>90</v>
      </c>
      <c r="O38" s="458">
        <f>SUM(B38:N38)</f>
        <v>1376</v>
      </c>
      <c r="P38" s="467">
        <v>1</v>
      </c>
    </row>
    <row r="39" spans="1:16" ht="13.5" thickBot="1">
      <c r="A39" s="457" t="s">
        <v>2686</v>
      </c>
      <c r="B39" s="466">
        <f aca="true" t="shared" si="12" ref="B39:N39">SUM(B40:B47)</f>
        <v>19470</v>
      </c>
      <c r="C39" s="466">
        <f t="shared" si="12"/>
        <v>19205</v>
      </c>
      <c r="D39" s="466">
        <f t="shared" si="12"/>
        <v>19609</v>
      </c>
      <c r="E39" s="466">
        <f t="shared" si="12"/>
        <v>19017</v>
      </c>
      <c r="F39" s="466">
        <f t="shared" si="12"/>
        <v>20122</v>
      </c>
      <c r="G39" s="466">
        <f t="shared" si="12"/>
        <v>20761</v>
      </c>
      <c r="H39" s="466">
        <f t="shared" si="12"/>
        <v>20163</v>
      </c>
      <c r="I39" s="466">
        <f t="shared" si="12"/>
        <v>19908</v>
      </c>
      <c r="J39" s="466">
        <f t="shared" si="12"/>
        <v>17444</v>
      </c>
      <c r="K39" s="466">
        <f t="shared" si="12"/>
        <v>17783</v>
      </c>
      <c r="L39" s="466">
        <f t="shared" si="12"/>
        <v>19106</v>
      </c>
      <c r="M39" s="466">
        <f t="shared" si="12"/>
        <v>18305</v>
      </c>
      <c r="N39" s="466">
        <f t="shared" si="12"/>
        <v>16954</v>
      </c>
      <c r="O39" s="458">
        <f>SUM(B39:N39)</f>
        <v>247847</v>
      </c>
      <c r="P39" s="467">
        <f>SUM(P40:P47)</f>
        <v>1</v>
      </c>
    </row>
    <row r="40" spans="1:16" ht="13.5" thickBot="1">
      <c r="A40" s="460" t="s">
        <v>2674</v>
      </c>
      <c r="B40" s="461">
        <v>7120</v>
      </c>
      <c r="C40" s="461">
        <v>6464</v>
      </c>
      <c r="D40" s="461">
        <v>7253</v>
      </c>
      <c r="E40" s="461">
        <v>7081</v>
      </c>
      <c r="F40" s="461">
        <v>6890</v>
      </c>
      <c r="G40" s="461">
        <v>6868</v>
      </c>
      <c r="H40" s="461">
        <v>7642</v>
      </c>
      <c r="I40" s="461">
        <v>7486</v>
      </c>
      <c r="J40" s="461">
        <v>6319</v>
      </c>
      <c r="K40" s="461">
        <v>6828</v>
      </c>
      <c r="L40" s="461">
        <v>8061</v>
      </c>
      <c r="M40" s="461">
        <v>6869</v>
      </c>
      <c r="N40" s="461">
        <v>5870</v>
      </c>
      <c r="O40" s="462">
        <f aca="true" t="shared" si="13" ref="O40:O47">SUM(B40:N40)</f>
        <v>90751</v>
      </c>
      <c r="P40" s="463">
        <f aca="true" t="shared" si="14" ref="P40:P47">O40/O$39</f>
        <v>0.36615734707299263</v>
      </c>
    </row>
    <row r="41" spans="1:16" ht="13.5" thickBot="1">
      <c r="A41" s="460" t="s">
        <v>2675</v>
      </c>
      <c r="B41" s="461">
        <v>145</v>
      </c>
      <c r="C41" s="461">
        <v>106</v>
      </c>
      <c r="D41" s="461">
        <v>112</v>
      </c>
      <c r="E41" s="461">
        <v>80</v>
      </c>
      <c r="F41" s="461">
        <v>64</v>
      </c>
      <c r="G41" s="461">
        <v>121</v>
      </c>
      <c r="H41" s="461">
        <v>193</v>
      </c>
      <c r="I41" s="461">
        <v>48</v>
      </c>
      <c r="J41" s="461">
        <v>42</v>
      </c>
      <c r="K41" s="461">
        <v>57</v>
      </c>
      <c r="L41" s="461">
        <v>34</v>
      </c>
      <c r="M41" s="461">
        <v>42</v>
      </c>
      <c r="N41" s="461">
        <v>69</v>
      </c>
      <c r="O41" s="462">
        <f t="shared" si="13"/>
        <v>1113</v>
      </c>
      <c r="P41" s="463">
        <f t="shared" si="14"/>
        <v>0.004490673681747207</v>
      </c>
    </row>
    <row r="42" spans="1:16" ht="13.5" thickBot="1">
      <c r="A42" s="460" t="s">
        <v>2676</v>
      </c>
      <c r="B42" s="461">
        <v>2738</v>
      </c>
      <c r="C42" s="461">
        <v>2404</v>
      </c>
      <c r="D42" s="461">
        <v>2500</v>
      </c>
      <c r="E42" s="461">
        <v>2517</v>
      </c>
      <c r="F42" s="461">
        <v>2818</v>
      </c>
      <c r="G42" s="461">
        <v>2905</v>
      </c>
      <c r="H42" s="461">
        <v>3010</v>
      </c>
      <c r="I42" s="461">
        <v>2913</v>
      </c>
      <c r="J42" s="461">
        <v>2161</v>
      </c>
      <c r="K42" s="461">
        <v>2300</v>
      </c>
      <c r="L42" s="461">
        <v>2631</v>
      </c>
      <c r="M42" s="461">
        <v>2451</v>
      </c>
      <c r="N42" s="461">
        <v>2387</v>
      </c>
      <c r="O42" s="462">
        <f t="shared" si="13"/>
        <v>33735</v>
      </c>
      <c r="P42" s="463">
        <f t="shared" si="14"/>
        <v>0.13611219825134055</v>
      </c>
    </row>
    <row r="43" spans="1:16" ht="13.5" thickBot="1">
      <c r="A43" s="460" t="s">
        <v>2677</v>
      </c>
      <c r="B43" s="461">
        <v>5457</v>
      </c>
      <c r="C43" s="461">
        <v>5365</v>
      </c>
      <c r="D43" s="461">
        <v>5291</v>
      </c>
      <c r="E43" s="461">
        <v>5761</v>
      </c>
      <c r="F43" s="461">
        <v>6568</v>
      </c>
      <c r="G43" s="461">
        <v>7278</v>
      </c>
      <c r="H43" s="461">
        <v>7121</v>
      </c>
      <c r="I43" s="461">
        <v>7352</v>
      </c>
      <c r="J43" s="461">
        <v>6414</v>
      </c>
      <c r="K43" s="461">
        <v>6095</v>
      </c>
      <c r="L43" s="461">
        <v>5930</v>
      </c>
      <c r="M43" s="461">
        <v>6482</v>
      </c>
      <c r="N43" s="461">
        <v>6513</v>
      </c>
      <c r="O43" s="462">
        <f t="shared" si="13"/>
        <v>81627</v>
      </c>
      <c r="P43" s="463">
        <f t="shared" si="14"/>
        <v>0.329344313225498</v>
      </c>
    </row>
    <row r="44" spans="1:16" ht="13.5" thickBot="1">
      <c r="A44" s="460" t="s">
        <v>2678</v>
      </c>
      <c r="B44" s="461">
        <v>-1365</v>
      </c>
      <c r="C44" s="461">
        <v>-892</v>
      </c>
      <c r="D44" s="461">
        <v>-638</v>
      </c>
      <c r="E44" s="461">
        <v>-1372</v>
      </c>
      <c r="F44" s="461">
        <v>-1573</v>
      </c>
      <c r="G44" s="461">
        <v>-2106</v>
      </c>
      <c r="H44" s="461">
        <v>-2175</v>
      </c>
      <c r="I44" s="461">
        <v>-2474</v>
      </c>
      <c r="J44" s="461">
        <v>-2050</v>
      </c>
      <c r="K44" s="461">
        <v>-2084</v>
      </c>
      <c r="L44" s="461">
        <v>-2111</v>
      </c>
      <c r="M44" s="461">
        <v>-2475</v>
      </c>
      <c r="N44" s="461">
        <v>-2840</v>
      </c>
      <c r="O44" s="462">
        <f t="shared" si="13"/>
        <v>-24155</v>
      </c>
      <c r="P44" s="463">
        <f t="shared" si="14"/>
        <v>-0.09745931966091984</v>
      </c>
    </row>
    <row r="45" spans="1:17" ht="13.5" thickBot="1">
      <c r="A45" s="445" t="s">
        <v>2679</v>
      </c>
      <c r="B45" s="461">
        <f>543+149+1</f>
        <v>693</v>
      </c>
      <c r="C45" s="461">
        <f>639+189+8</f>
        <v>836</v>
      </c>
      <c r="D45" s="461">
        <f>681+260+28</f>
        <v>969</v>
      </c>
      <c r="E45" s="461">
        <f>708+272+31</f>
        <v>1011</v>
      </c>
      <c r="F45" s="461">
        <f>692+406+58</f>
        <v>1156</v>
      </c>
      <c r="G45" s="461">
        <f>736+404+59</f>
        <v>1199</v>
      </c>
      <c r="H45" s="461">
        <f>675+286+68</f>
        <v>1029</v>
      </c>
      <c r="I45" s="461">
        <f>780+33+253</f>
        <v>1066</v>
      </c>
      <c r="J45" s="461">
        <f>765+33+318</f>
        <v>1116</v>
      </c>
      <c r="K45" s="461">
        <f>926+43+495</f>
        <v>1464</v>
      </c>
      <c r="L45" s="461">
        <f>991+47+334</f>
        <v>1372</v>
      </c>
      <c r="M45" s="461">
        <f>1131+48+452</f>
        <v>1631</v>
      </c>
      <c r="N45" s="461">
        <f>1182+52+586</f>
        <v>1820</v>
      </c>
      <c r="O45" s="462">
        <f t="shared" si="13"/>
        <v>15362</v>
      </c>
      <c r="P45" s="463">
        <f t="shared" si="14"/>
        <v>0.06198178715094393</v>
      </c>
      <c r="Q45" s="474"/>
    </row>
    <row r="46" spans="1:17" ht="13.5" thickBot="1">
      <c r="A46" s="445" t="s">
        <v>2680</v>
      </c>
      <c r="B46" s="461">
        <v>5277</v>
      </c>
      <c r="C46" s="461">
        <v>5463</v>
      </c>
      <c r="D46" s="461">
        <v>4594</v>
      </c>
      <c r="E46" s="461">
        <v>4444</v>
      </c>
      <c r="F46" s="461">
        <v>4851</v>
      </c>
      <c r="G46" s="461">
        <v>5162</v>
      </c>
      <c r="H46" s="461">
        <v>3728</v>
      </c>
      <c r="I46" s="461">
        <v>3977</v>
      </c>
      <c r="J46" s="461">
        <v>3878</v>
      </c>
      <c r="K46" s="461">
        <v>3849</v>
      </c>
      <c r="L46" s="461">
        <v>4105</v>
      </c>
      <c r="M46" s="461">
        <v>4020</v>
      </c>
      <c r="N46" s="461">
        <v>3666</v>
      </c>
      <c r="O46" s="462">
        <f t="shared" si="13"/>
        <v>57014</v>
      </c>
      <c r="P46" s="463">
        <f t="shared" si="14"/>
        <v>0.23003707932716555</v>
      </c>
      <c r="Q46" s="474"/>
    </row>
    <row r="47" spans="1:17" ht="13.5" thickBot="1">
      <c r="A47" s="468" t="s">
        <v>1128</v>
      </c>
      <c r="B47" s="461">
        <v>-595</v>
      </c>
      <c r="C47" s="461">
        <v>-541</v>
      </c>
      <c r="D47" s="461">
        <v>-472</v>
      </c>
      <c r="E47" s="461">
        <v>-505</v>
      </c>
      <c r="F47" s="461">
        <v>-652</v>
      </c>
      <c r="G47" s="461">
        <v>-666</v>
      </c>
      <c r="H47" s="461">
        <v>-385</v>
      </c>
      <c r="I47" s="461">
        <v>-460</v>
      </c>
      <c r="J47" s="461">
        <v>-436</v>
      </c>
      <c r="K47" s="461">
        <v>-726</v>
      </c>
      <c r="L47" s="461">
        <v>-916</v>
      </c>
      <c r="M47" s="461">
        <v>-715</v>
      </c>
      <c r="N47" s="461">
        <v>-531</v>
      </c>
      <c r="O47" s="462">
        <f t="shared" si="13"/>
        <v>-7600</v>
      </c>
      <c r="P47" s="463">
        <f t="shared" si="14"/>
        <v>-0.03066407904876799</v>
      </c>
      <c r="Q47" s="474"/>
    </row>
    <row r="48" spans="1:16" s="178" customFormat="1" ht="13.5" thickBot="1">
      <c r="A48" s="457" t="s">
        <v>2687</v>
      </c>
      <c r="B48" s="458">
        <f aca="true" t="shared" si="15" ref="B48:N48">SUM(B49:B56)</f>
        <v>19667</v>
      </c>
      <c r="C48" s="458">
        <f t="shared" si="15"/>
        <v>18978</v>
      </c>
      <c r="D48" s="458">
        <f t="shared" si="15"/>
        <v>18978</v>
      </c>
      <c r="E48" s="458">
        <f t="shared" si="15"/>
        <v>18822</v>
      </c>
      <c r="F48" s="458">
        <f t="shared" si="15"/>
        <v>20064</v>
      </c>
      <c r="G48" s="458">
        <f t="shared" si="15"/>
        <v>21105</v>
      </c>
      <c r="H48" s="458">
        <f t="shared" si="15"/>
        <v>20382</v>
      </c>
      <c r="I48" s="458">
        <f t="shared" si="15"/>
        <v>20301</v>
      </c>
      <c r="J48" s="458">
        <f t="shared" si="15"/>
        <v>18045</v>
      </c>
      <c r="K48" s="458">
        <f t="shared" si="15"/>
        <v>18059</v>
      </c>
      <c r="L48" s="458">
        <f t="shared" si="15"/>
        <v>19334</v>
      </c>
      <c r="M48" s="458">
        <f t="shared" si="15"/>
        <v>18626</v>
      </c>
      <c r="N48" s="458">
        <f t="shared" si="15"/>
        <v>17450</v>
      </c>
      <c r="O48" s="458">
        <f>SUM(B48:N48)</f>
        <v>249811</v>
      </c>
      <c r="P48" s="472">
        <f>SUM(P49:P56)</f>
        <v>1</v>
      </c>
    </row>
    <row r="49" spans="1:16" ht="13.5" thickBot="1">
      <c r="A49" s="460" t="s">
        <v>2674</v>
      </c>
      <c r="B49" s="461">
        <v>6704</v>
      </c>
      <c r="C49" s="461">
        <v>6123</v>
      </c>
      <c r="D49" s="461">
        <v>6866</v>
      </c>
      <c r="E49" s="461">
        <v>6563</v>
      </c>
      <c r="F49" s="461">
        <v>6409</v>
      </c>
      <c r="G49" s="461">
        <v>6410</v>
      </c>
      <c r="H49" s="461">
        <v>7153</v>
      </c>
      <c r="I49" s="461">
        <v>7014</v>
      </c>
      <c r="J49" s="461">
        <v>5981</v>
      </c>
      <c r="K49" s="461">
        <v>6403</v>
      </c>
      <c r="L49" s="461">
        <v>7625</v>
      </c>
      <c r="M49" s="461">
        <v>6476</v>
      </c>
      <c r="N49" s="461">
        <v>5522</v>
      </c>
      <c r="O49" s="462">
        <f aca="true" t="shared" si="16" ref="O49:O56">SUM(B49:N49)</f>
        <v>85249</v>
      </c>
      <c r="P49" s="463">
        <f aca="true" t="shared" si="17" ref="P49:P56">O49/O$48</f>
        <v>0.3412539880149393</v>
      </c>
    </row>
    <row r="50" spans="1:16" ht="13.5" thickBot="1">
      <c r="A50" s="460" t="s">
        <v>2675</v>
      </c>
      <c r="B50" s="461">
        <v>784</v>
      </c>
      <c r="C50" s="461">
        <v>717</v>
      </c>
      <c r="D50" s="461">
        <v>830</v>
      </c>
      <c r="E50" s="461">
        <v>728</v>
      </c>
      <c r="F50" s="461">
        <v>910</v>
      </c>
      <c r="G50" s="461">
        <v>958</v>
      </c>
      <c r="H50" s="461">
        <v>939</v>
      </c>
      <c r="I50" s="461">
        <v>759</v>
      </c>
      <c r="J50" s="461">
        <v>461</v>
      </c>
      <c r="K50" s="461">
        <v>391</v>
      </c>
      <c r="L50" s="461">
        <v>204</v>
      </c>
      <c r="M50" s="461">
        <v>239</v>
      </c>
      <c r="N50" s="461">
        <v>362</v>
      </c>
      <c r="O50" s="462">
        <f t="shared" si="16"/>
        <v>8282</v>
      </c>
      <c r="P50" s="463">
        <f t="shared" si="17"/>
        <v>0.033153063716169426</v>
      </c>
    </row>
    <row r="51" spans="1:16" ht="13.5" thickBot="1">
      <c r="A51" s="460" t="s">
        <v>2676</v>
      </c>
      <c r="B51" s="461">
        <v>1041</v>
      </c>
      <c r="C51" s="461">
        <v>965</v>
      </c>
      <c r="D51" s="461">
        <v>1013</v>
      </c>
      <c r="E51" s="461">
        <v>928</v>
      </c>
      <c r="F51" s="461">
        <v>1000</v>
      </c>
      <c r="G51" s="461">
        <v>1031</v>
      </c>
      <c r="H51" s="461">
        <v>1002</v>
      </c>
      <c r="I51" s="461">
        <v>1011</v>
      </c>
      <c r="J51" s="461">
        <v>930</v>
      </c>
      <c r="K51" s="461">
        <v>992</v>
      </c>
      <c r="L51" s="461">
        <v>1033</v>
      </c>
      <c r="M51" s="461">
        <v>1022</v>
      </c>
      <c r="N51" s="461">
        <v>964</v>
      </c>
      <c r="O51" s="462">
        <f t="shared" si="16"/>
        <v>12932</v>
      </c>
      <c r="P51" s="463">
        <f t="shared" si="17"/>
        <v>0.051767135954781815</v>
      </c>
    </row>
    <row r="52" spans="1:16" ht="13.5" thickBot="1">
      <c r="A52" s="460" t="s">
        <v>2677</v>
      </c>
      <c r="B52" s="461">
        <v>5631</v>
      </c>
      <c r="C52" s="461">
        <v>5477</v>
      </c>
      <c r="D52" s="461">
        <v>5416</v>
      </c>
      <c r="E52" s="461">
        <v>5922</v>
      </c>
      <c r="F52" s="461">
        <v>6688</v>
      </c>
      <c r="G52" s="461">
        <v>7421</v>
      </c>
      <c r="H52" s="461">
        <v>7384</v>
      </c>
      <c r="I52" s="461">
        <v>7385</v>
      </c>
      <c r="J52" s="461">
        <v>6540</v>
      </c>
      <c r="K52" s="461">
        <v>6161</v>
      </c>
      <c r="L52" s="461">
        <v>6217</v>
      </c>
      <c r="M52" s="461">
        <v>6672</v>
      </c>
      <c r="N52" s="461">
        <v>6706</v>
      </c>
      <c r="O52" s="462">
        <f t="shared" si="16"/>
        <v>83620</v>
      </c>
      <c r="P52" s="463">
        <f t="shared" si="17"/>
        <v>0.33473305819199317</v>
      </c>
    </row>
    <row r="53" spans="1:16" ht="13.5" thickBot="1">
      <c r="A53" s="460" t="s">
        <v>2678</v>
      </c>
      <c r="B53" s="461">
        <v>230</v>
      </c>
      <c r="C53" s="461">
        <v>228</v>
      </c>
      <c r="D53" s="461">
        <v>257</v>
      </c>
      <c r="E53" s="461">
        <v>234</v>
      </c>
      <c r="F53" s="461">
        <v>201</v>
      </c>
      <c r="G53" s="461">
        <v>118</v>
      </c>
      <c r="H53" s="461">
        <v>174</v>
      </c>
      <c r="I53" s="461">
        <v>127</v>
      </c>
      <c r="J53" s="461">
        <v>229</v>
      </c>
      <c r="K53" s="461">
        <v>234</v>
      </c>
      <c r="L53" s="461">
        <v>115</v>
      </c>
      <c r="M53" s="461">
        <v>173</v>
      </c>
      <c r="N53" s="461">
        <v>180</v>
      </c>
      <c r="O53" s="462">
        <f t="shared" si="16"/>
        <v>2500</v>
      </c>
      <c r="P53" s="463">
        <f t="shared" si="17"/>
        <v>0.010007565719684081</v>
      </c>
    </row>
    <row r="54" spans="1:16" ht="13.5" thickBot="1">
      <c r="A54" s="445" t="s">
        <v>2679</v>
      </c>
      <c r="B54" s="461"/>
      <c r="C54" s="461">
        <v>5</v>
      </c>
      <c r="D54" s="461">
        <v>2</v>
      </c>
      <c r="E54" s="461">
        <v>3</v>
      </c>
      <c r="F54" s="461">
        <f>1+4</f>
        <v>5</v>
      </c>
      <c r="G54" s="461">
        <f>1+4</f>
        <v>5</v>
      </c>
      <c r="H54" s="461">
        <v>2</v>
      </c>
      <c r="I54" s="461">
        <v>28</v>
      </c>
      <c r="J54" s="461">
        <v>21</v>
      </c>
      <c r="K54" s="461">
        <v>24</v>
      </c>
      <c r="L54" s="461">
        <v>26</v>
      </c>
      <c r="M54" s="461">
        <v>20</v>
      </c>
      <c r="N54" s="461">
        <v>45</v>
      </c>
      <c r="O54" s="462">
        <f t="shared" si="16"/>
        <v>186</v>
      </c>
      <c r="P54" s="463">
        <f t="shared" si="17"/>
        <v>0.0007445628895444956</v>
      </c>
    </row>
    <row r="55" spans="1:16" ht="13.5" thickBot="1">
      <c r="A55" s="445" t="s">
        <v>2680</v>
      </c>
      <c r="B55" s="461">
        <v>5277</v>
      </c>
      <c r="C55" s="461">
        <v>5463</v>
      </c>
      <c r="D55" s="461">
        <v>4594</v>
      </c>
      <c r="E55" s="461">
        <v>4444</v>
      </c>
      <c r="F55" s="461">
        <v>4851</v>
      </c>
      <c r="G55" s="461">
        <v>5162</v>
      </c>
      <c r="H55" s="461">
        <v>3728</v>
      </c>
      <c r="I55" s="461">
        <v>3977</v>
      </c>
      <c r="J55" s="461">
        <v>3878</v>
      </c>
      <c r="K55" s="461">
        <v>3849</v>
      </c>
      <c r="L55" s="461">
        <v>4105</v>
      </c>
      <c r="M55" s="461">
        <v>4019</v>
      </c>
      <c r="N55" s="461">
        <v>3666</v>
      </c>
      <c r="O55" s="462">
        <f t="shared" si="16"/>
        <v>57013</v>
      </c>
      <c r="P55" s="463">
        <f t="shared" si="17"/>
        <v>0.2282245377505394</v>
      </c>
    </row>
    <row r="56" spans="1:16" ht="13.5" thickBot="1">
      <c r="A56" s="468" t="s">
        <v>2681</v>
      </c>
      <c r="B56" s="461"/>
      <c r="C56" s="461"/>
      <c r="D56" s="461"/>
      <c r="E56" s="461"/>
      <c r="F56" s="461"/>
      <c r="G56" s="461"/>
      <c r="H56" s="461"/>
      <c r="I56" s="461"/>
      <c r="J56" s="461">
        <v>5</v>
      </c>
      <c r="K56" s="461">
        <v>5</v>
      </c>
      <c r="L56" s="461">
        <v>9</v>
      </c>
      <c r="M56" s="461">
        <v>5</v>
      </c>
      <c r="N56" s="461">
        <v>5</v>
      </c>
      <c r="O56" s="462">
        <f t="shared" si="16"/>
        <v>29</v>
      </c>
      <c r="P56" s="463">
        <f t="shared" si="17"/>
        <v>0.00011608776234833534</v>
      </c>
    </row>
    <row r="57" spans="1:16" s="178" customFormat="1" ht="13.5" thickBot="1">
      <c r="A57" s="457" t="s">
        <v>2688</v>
      </c>
      <c r="B57" s="465">
        <f aca="true" t="shared" si="18" ref="B57:N57">SUM(B58:B66)</f>
        <v>11627</v>
      </c>
      <c r="C57" s="465">
        <f t="shared" si="18"/>
        <v>11076</v>
      </c>
      <c r="D57" s="465">
        <f t="shared" si="18"/>
        <v>11417</v>
      </c>
      <c r="E57" s="465">
        <f t="shared" si="18"/>
        <v>11673</v>
      </c>
      <c r="F57" s="465">
        <f t="shared" si="18"/>
        <v>12354</v>
      </c>
      <c r="G57" s="465">
        <f t="shared" si="18"/>
        <v>13271</v>
      </c>
      <c r="H57" s="465">
        <f t="shared" si="18"/>
        <v>13022</v>
      </c>
      <c r="I57" s="465">
        <f t="shared" si="18"/>
        <v>13266</v>
      </c>
      <c r="J57" s="465">
        <f t="shared" si="18"/>
        <v>11734</v>
      </c>
      <c r="K57" s="465">
        <f t="shared" si="18"/>
        <v>11356</v>
      </c>
      <c r="L57" s="465">
        <f t="shared" si="18"/>
        <v>11698</v>
      </c>
      <c r="M57" s="465">
        <f t="shared" si="18"/>
        <v>11726</v>
      </c>
      <c r="N57" s="465">
        <f t="shared" si="18"/>
        <v>11288</v>
      </c>
      <c r="O57" s="458">
        <f>SUM(B57:N57)</f>
        <v>155508</v>
      </c>
      <c r="P57" s="467">
        <f>SUM(P58:P66)</f>
        <v>1</v>
      </c>
    </row>
    <row r="58" spans="1:16" ht="13.5" thickBot="1">
      <c r="A58" s="460" t="s">
        <v>2674</v>
      </c>
      <c r="B58" s="461" t="s">
        <v>1980</v>
      </c>
      <c r="C58" s="461" t="s">
        <v>1980</v>
      </c>
      <c r="D58" s="461" t="s">
        <v>1980</v>
      </c>
      <c r="E58" s="461" t="s">
        <v>1980</v>
      </c>
      <c r="F58" s="461" t="s">
        <v>1980</v>
      </c>
      <c r="G58" s="461" t="s">
        <v>1980</v>
      </c>
      <c r="H58" s="461" t="s">
        <v>1980</v>
      </c>
      <c r="I58" s="461" t="s">
        <v>1980</v>
      </c>
      <c r="J58" s="461" t="s">
        <v>1980</v>
      </c>
      <c r="K58" s="461" t="s">
        <v>1980</v>
      </c>
      <c r="L58" s="461" t="s">
        <v>1980</v>
      </c>
      <c r="M58" s="461" t="s">
        <v>1980</v>
      </c>
      <c r="N58" s="461" t="s">
        <v>1980</v>
      </c>
      <c r="O58" s="461" t="s">
        <v>1980</v>
      </c>
      <c r="P58" s="461" t="s">
        <v>1980</v>
      </c>
    </row>
    <row r="59" spans="1:16" ht="13.5" thickBot="1">
      <c r="A59" s="460" t="s">
        <v>2675</v>
      </c>
      <c r="B59" s="461">
        <v>1349</v>
      </c>
      <c r="C59" s="461">
        <v>1396</v>
      </c>
      <c r="D59" s="461">
        <v>1525</v>
      </c>
      <c r="E59" s="461">
        <v>1331</v>
      </c>
      <c r="F59" s="461">
        <v>1357</v>
      </c>
      <c r="G59" s="461">
        <v>1323</v>
      </c>
      <c r="H59" s="461">
        <v>1195</v>
      </c>
      <c r="I59" s="461">
        <v>966</v>
      </c>
      <c r="J59" s="461">
        <v>488</v>
      </c>
      <c r="K59" s="461">
        <v>413</v>
      </c>
      <c r="L59" s="461">
        <v>267</v>
      </c>
      <c r="M59" s="461">
        <v>296</v>
      </c>
      <c r="N59" s="461">
        <v>383</v>
      </c>
      <c r="O59" s="462">
        <f aca="true" t="shared" si="19" ref="O59:O66">SUM(B59:N59)</f>
        <v>12289</v>
      </c>
      <c r="P59" s="463">
        <f aca="true" t="shared" si="20" ref="P59:P66">O59/O$57</f>
        <v>0.07902487331841448</v>
      </c>
    </row>
    <row r="60" spans="1:16" ht="13.5" thickBot="1">
      <c r="A60" s="460" t="s">
        <v>2676</v>
      </c>
      <c r="B60" s="461" t="s">
        <v>1980</v>
      </c>
      <c r="C60" s="461" t="s">
        <v>1980</v>
      </c>
      <c r="D60" s="461" t="s">
        <v>1980</v>
      </c>
      <c r="E60" s="461" t="s">
        <v>1980</v>
      </c>
      <c r="F60" s="461" t="s">
        <v>1980</v>
      </c>
      <c r="G60" s="461" t="s">
        <v>1980</v>
      </c>
      <c r="H60" s="461" t="s">
        <v>1980</v>
      </c>
      <c r="I60" s="461" t="s">
        <v>1980</v>
      </c>
      <c r="J60" s="461" t="s">
        <v>1980</v>
      </c>
      <c r="K60" s="461" t="s">
        <v>1980</v>
      </c>
      <c r="L60" s="461" t="s">
        <v>1980</v>
      </c>
      <c r="M60" s="461" t="s">
        <v>1980</v>
      </c>
      <c r="N60" s="461" t="s">
        <v>1980</v>
      </c>
      <c r="O60" s="461" t="s">
        <v>1980</v>
      </c>
      <c r="P60" s="461" t="s">
        <v>1980</v>
      </c>
    </row>
    <row r="61" spans="1:16" ht="13.5" thickBot="1">
      <c r="A61" s="460" t="s">
        <v>2677</v>
      </c>
      <c r="B61" s="461" t="s">
        <v>1980</v>
      </c>
      <c r="C61" s="461" t="s">
        <v>1980</v>
      </c>
      <c r="D61" s="461" t="s">
        <v>1980</v>
      </c>
      <c r="E61" s="461" t="s">
        <v>1980</v>
      </c>
      <c r="F61" s="461" t="s">
        <v>1980</v>
      </c>
      <c r="G61" s="461" t="s">
        <v>1980</v>
      </c>
      <c r="H61" s="461">
        <v>124</v>
      </c>
      <c r="I61" s="461" t="s">
        <v>1980</v>
      </c>
      <c r="J61" s="461" t="s">
        <v>1980</v>
      </c>
      <c r="K61" s="461" t="s">
        <v>1980</v>
      </c>
      <c r="L61" s="461" t="s">
        <v>1980</v>
      </c>
      <c r="M61" s="461" t="s">
        <v>1980</v>
      </c>
      <c r="N61" s="461" t="s">
        <v>1980</v>
      </c>
      <c r="O61" s="462">
        <f t="shared" si="19"/>
        <v>124</v>
      </c>
      <c r="P61" s="463">
        <f t="shared" si="20"/>
        <v>0.0007973866296267716</v>
      </c>
    </row>
    <row r="62" spans="1:16" ht="13.5" thickBot="1">
      <c r="A62" s="460" t="s">
        <v>2678</v>
      </c>
      <c r="B62" s="461">
        <v>5458</v>
      </c>
      <c r="C62" s="461">
        <v>5069</v>
      </c>
      <c r="D62" s="461">
        <v>5226</v>
      </c>
      <c r="E62" s="461">
        <v>5841</v>
      </c>
      <c r="F62" s="461">
        <v>6346</v>
      </c>
      <c r="G62" s="461">
        <v>7197</v>
      </c>
      <c r="H62" s="461">
        <v>7017</v>
      </c>
      <c r="I62" s="461">
        <v>7262</v>
      </c>
      <c r="J62" s="461">
        <v>6474</v>
      </c>
      <c r="K62" s="461">
        <v>6054</v>
      </c>
      <c r="L62" s="461">
        <v>6059</v>
      </c>
      <c r="M62" s="461">
        <v>6497</v>
      </c>
      <c r="N62" s="461">
        <v>6520</v>
      </c>
      <c r="O62" s="462">
        <f t="shared" si="19"/>
        <v>81020</v>
      </c>
      <c r="P62" s="463">
        <f t="shared" si="20"/>
        <v>0.5210021349383954</v>
      </c>
    </row>
    <row r="63" spans="1:16" ht="13.5" thickBot="1">
      <c r="A63" s="470" t="s">
        <v>2065</v>
      </c>
      <c r="B63" s="461"/>
      <c r="C63" s="461"/>
      <c r="D63" s="461"/>
      <c r="E63" s="461"/>
      <c r="F63" s="461"/>
      <c r="G63" s="461"/>
      <c r="H63" s="461"/>
      <c r="I63" s="461">
        <v>11</v>
      </c>
      <c r="J63" s="461">
        <v>10</v>
      </c>
      <c r="K63" s="461">
        <v>11</v>
      </c>
      <c r="L63" s="461">
        <v>10</v>
      </c>
      <c r="M63" s="461">
        <v>2</v>
      </c>
      <c r="N63" s="461">
        <v>3</v>
      </c>
      <c r="O63" s="462">
        <f t="shared" si="19"/>
        <v>47</v>
      </c>
      <c r="P63" s="463">
        <f t="shared" si="20"/>
        <v>0.00030223525477788925</v>
      </c>
    </row>
    <row r="64" spans="1:16" ht="13.5" thickBot="1">
      <c r="A64" s="445" t="s">
        <v>2680</v>
      </c>
      <c r="B64" s="461" t="s">
        <v>1980</v>
      </c>
      <c r="C64" s="461" t="s">
        <v>1980</v>
      </c>
      <c r="D64" s="461" t="s">
        <v>1980</v>
      </c>
      <c r="E64" s="461" t="s">
        <v>1980</v>
      </c>
      <c r="F64" s="461" t="s">
        <v>1980</v>
      </c>
      <c r="G64" s="461" t="s">
        <v>1980</v>
      </c>
      <c r="H64" s="461" t="s">
        <v>1980</v>
      </c>
      <c r="I64" s="461" t="s">
        <v>1980</v>
      </c>
      <c r="J64" s="461" t="s">
        <v>1980</v>
      </c>
      <c r="K64" s="461" t="s">
        <v>1980</v>
      </c>
      <c r="L64" s="461" t="s">
        <v>1980</v>
      </c>
      <c r="M64" s="461" t="s">
        <v>1980</v>
      </c>
      <c r="N64" s="461" t="s">
        <v>1980</v>
      </c>
      <c r="O64" s="461" t="s">
        <v>1980</v>
      </c>
      <c r="P64" s="461" t="s">
        <v>1980</v>
      </c>
    </row>
    <row r="65" spans="1:16" ht="13.5" thickBot="1">
      <c r="A65" s="468" t="s">
        <v>2681</v>
      </c>
      <c r="B65" s="461">
        <v>1227</v>
      </c>
      <c r="C65" s="461">
        <v>1174</v>
      </c>
      <c r="D65" s="461">
        <v>1287</v>
      </c>
      <c r="E65" s="461">
        <v>1212</v>
      </c>
      <c r="F65" s="461">
        <v>1244</v>
      </c>
      <c r="G65" s="461">
        <v>1205</v>
      </c>
      <c r="H65" s="461">
        <v>1246</v>
      </c>
      <c r="I65" s="461">
        <v>1448</v>
      </c>
      <c r="J65" s="461">
        <v>1436</v>
      </c>
      <c r="K65" s="461">
        <v>1417</v>
      </c>
      <c r="L65" s="461">
        <v>1395</v>
      </c>
      <c r="M65" s="461">
        <v>1379</v>
      </c>
      <c r="N65" s="461">
        <v>1266</v>
      </c>
      <c r="O65" s="462">
        <f t="shared" si="19"/>
        <v>16936</v>
      </c>
      <c r="P65" s="463">
        <f t="shared" si="20"/>
        <v>0.10890758031741132</v>
      </c>
    </row>
    <row r="66" spans="1:16" ht="13.5" thickBot="1">
      <c r="A66" s="468" t="s">
        <v>1128</v>
      </c>
      <c r="B66" s="461">
        <v>3593</v>
      </c>
      <c r="C66" s="461">
        <v>3437</v>
      </c>
      <c r="D66" s="461">
        <v>3379</v>
      </c>
      <c r="E66" s="461">
        <v>3289</v>
      </c>
      <c r="F66" s="461">
        <v>3407</v>
      </c>
      <c r="G66" s="461">
        <v>3546</v>
      </c>
      <c r="H66" s="461">
        <v>3440</v>
      </c>
      <c r="I66" s="461">
        <v>3579</v>
      </c>
      <c r="J66" s="461">
        <v>3326</v>
      </c>
      <c r="K66" s="461">
        <v>3461</v>
      </c>
      <c r="L66" s="461">
        <v>3967</v>
      </c>
      <c r="M66" s="461">
        <v>3552</v>
      </c>
      <c r="N66" s="461">
        <v>3116</v>
      </c>
      <c r="O66" s="462">
        <f t="shared" si="19"/>
        <v>45092</v>
      </c>
      <c r="P66" s="463">
        <f t="shared" si="20"/>
        <v>0.2899657895413741</v>
      </c>
    </row>
    <row r="67" spans="1:16" ht="13.5" thickBot="1">
      <c r="A67" s="457" t="s">
        <v>2022</v>
      </c>
      <c r="B67" s="465">
        <f aca="true" t="shared" si="21" ref="B67:N67">SUM(B68:B76)</f>
        <v>1248</v>
      </c>
      <c r="C67" s="465">
        <f t="shared" si="21"/>
        <v>1241</v>
      </c>
      <c r="D67" s="465">
        <f t="shared" si="21"/>
        <v>1238</v>
      </c>
      <c r="E67" s="465">
        <f t="shared" si="21"/>
        <v>1277</v>
      </c>
      <c r="F67" s="465">
        <f t="shared" si="21"/>
        <v>1357</v>
      </c>
      <c r="G67" s="465">
        <f t="shared" si="21"/>
        <v>1426</v>
      </c>
      <c r="H67" s="465">
        <f t="shared" si="21"/>
        <v>1563</v>
      </c>
      <c r="I67" s="465">
        <f t="shared" si="21"/>
        <v>1545</v>
      </c>
      <c r="J67" s="465">
        <f t="shared" si="21"/>
        <v>1391</v>
      </c>
      <c r="K67" s="465">
        <f t="shared" si="21"/>
        <v>1306</v>
      </c>
      <c r="L67" s="465">
        <f t="shared" si="21"/>
        <v>1320</v>
      </c>
      <c r="M67" s="465">
        <f t="shared" si="21"/>
        <v>1329</v>
      </c>
      <c r="N67" s="465">
        <f t="shared" si="21"/>
        <v>1218</v>
      </c>
      <c r="O67" s="458">
        <f>SUM(B67:N67)</f>
        <v>17459</v>
      </c>
      <c r="P67" s="467">
        <f>SUM(P68:P76)</f>
        <v>1</v>
      </c>
    </row>
    <row r="68" spans="1:16" ht="13.5" thickBot="1">
      <c r="A68" s="460" t="s">
        <v>2674</v>
      </c>
      <c r="B68" s="461">
        <v>8</v>
      </c>
      <c r="C68" s="461">
        <v>6</v>
      </c>
      <c r="D68" s="461">
        <v>3</v>
      </c>
      <c r="E68" s="461">
        <v>2</v>
      </c>
      <c r="F68" s="461">
        <v>2</v>
      </c>
      <c r="G68" s="461">
        <v>3</v>
      </c>
      <c r="H68" s="461" t="s">
        <v>1980</v>
      </c>
      <c r="I68" s="461" t="s">
        <v>1980</v>
      </c>
      <c r="J68" s="461" t="s">
        <v>1980</v>
      </c>
      <c r="K68" s="461">
        <v>1</v>
      </c>
      <c r="L68" s="461" t="s">
        <v>1980</v>
      </c>
      <c r="M68" s="461" t="s">
        <v>1980</v>
      </c>
      <c r="N68" s="461" t="s">
        <v>1980</v>
      </c>
      <c r="O68" s="462">
        <f aca="true" t="shared" si="22" ref="O68:O76">SUM(B68:N68)</f>
        <v>25</v>
      </c>
      <c r="P68" s="463">
        <f aca="true" t="shared" si="23" ref="P68:P76">O68/O$67</f>
        <v>0.0014319262271607768</v>
      </c>
    </row>
    <row r="69" spans="1:16" ht="13.5" thickBot="1">
      <c r="A69" s="460" t="s">
        <v>2675</v>
      </c>
      <c r="B69" s="461">
        <v>198</v>
      </c>
      <c r="C69" s="461">
        <v>188</v>
      </c>
      <c r="D69" s="461">
        <v>225</v>
      </c>
      <c r="E69" s="461">
        <v>200</v>
      </c>
      <c r="F69" s="461">
        <v>182</v>
      </c>
      <c r="G69" s="461">
        <v>169</v>
      </c>
      <c r="H69" s="461">
        <v>154</v>
      </c>
      <c r="I69" s="461">
        <v>80</v>
      </c>
      <c r="J69" s="461">
        <v>1</v>
      </c>
      <c r="K69" s="461">
        <v>1</v>
      </c>
      <c r="L69" s="461">
        <v>1</v>
      </c>
      <c r="M69" s="461">
        <v>1</v>
      </c>
      <c r="N69" s="461">
        <v>1</v>
      </c>
      <c r="O69" s="462">
        <f t="shared" si="22"/>
        <v>1401</v>
      </c>
      <c r="P69" s="463">
        <f t="shared" si="23"/>
        <v>0.08024514577008993</v>
      </c>
    </row>
    <row r="70" spans="1:16" ht="13.5" thickBot="1">
      <c r="A70" s="460" t="s">
        <v>2676</v>
      </c>
      <c r="B70" s="461">
        <v>214</v>
      </c>
      <c r="C70" s="461">
        <v>205</v>
      </c>
      <c r="D70" s="461">
        <v>158</v>
      </c>
      <c r="E70" s="461">
        <v>214</v>
      </c>
      <c r="F70" s="461">
        <v>281</v>
      </c>
      <c r="G70" s="461">
        <v>298</v>
      </c>
      <c r="H70" s="461">
        <v>333</v>
      </c>
      <c r="I70" s="461">
        <v>297</v>
      </c>
      <c r="J70" s="461">
        <v>179</v>
      </c>
      <c r="K70" s="461">
        <v>167</v>
      </c>
      <c r="L70" s="461">
        <v>242</v>
      </c>
      <c r="M70" s="461">
        <v>240</v>
      </c>
      <c r="N70" s="461">
        <v>198</v>
      </c>
      <c r="O70" s="462">
        <f t="shared" si="22"/>
        <v>3026</v>
      </c>
      <c r="P70" s="463">
        <f t="shared" si="23"/>
        <v>0.1733203505355404</v>
      </c>
    </row>
    <row r="71" spans="1:16" ht="13.5" thickBot="1">
      <c r="A71" s="460" t="s">
        <v>2677</v>
      </c>
      <c r="B71" s="461" t="s">
        <v>1980</v>
      </c>
      <c r="C71" s="461" t="s">
        <v>1980</v>
      </c>
      <c r="D71" s="461" t="s">
        <v>1980</v>
      </c>
      <c r="E71" s="461" t="s">
        <v>1980</v>
      </c>
      <c r="F71" s="461" t="s">
        <v>1980</v>
      </c>
      <c r="G71" s="461" t="s">
        <v>1980</v>
      </c>
      <c r="H71" s="461" t="s">
        <v>1980</v>
      </c>
      <c r="I71" s="461" t="s">
        <v>1980</v>
      </c>
      <c r="J71" s="461" t="s">
        <v>1980</v>
      </c>
      <c r="K71" s="461" t="s">
        <v>1980</v>
      </c>
      <c r="L71" s="461" t="s">
        <v>1980</v>
      </c>
      <c r="M71" s="461" t="s">
        <v>1980</v>
      </c>
      <c r="N71" s="461" t="s">
        <v>1980</v>
      </c>
      <c r="O71" s="461" t="s">
        <v>1980</v>
      </c>
      <c r="P71" s="461" t="s">
        <v>1980</v>
      </c>
    </row>
    <row r="72" spans="1:16" ht="13.5" thickBot="1">
      <c r="A72" s="460" t="s">
        <v>2678</v>
      </c>
      <c r="B72" s="461">
        <v>166</v>
      </c>
      <c r="C72" s="461">
        <v>191</v>
      </c>
      <c r="D72" s="461">
        <v>158</v>
      </c>
      <c r="E72" s="461">
        <v>173</v>
      </c>
      <c r="F72" s="461">
        <v>195</v>
      </c>
      <c r="G72" s="461">
        <v>244</v>
      </c>
      <c r="H72" s="461">
        <v>241</v>
      </c>
      <c r="I72" s="461">
        <v>281</v>
      </c>
      <c r="J72" s="461">
        <v>334</v>
      </c>
      <c r="K72" s="461">
        <v>319</v>
      </c>
      <c r="L72" s="461">
        <v>301</v>
      </c>
      <c r="M72" s="461">
        <v>307</v>
      </c>
      <c r="N72" s="461">
        <v>326</v>
      </c>
      <c r="O72" s="462">
        <f t="shared" si="22"/>
        <v>3236</v>
      </c>
      <c r="P72" s="463">
        <f t="shared" si="23"/>
        <v>0.18534853084369093</v>
      </c>
    </row>
    <row r="73" spans="1:16" ht="13.5" thickBot="1">
      <c r="A73" s="470" t="s">
        <v>2065</v>
      </c>
      <c r="B73" s="461"/>
      <c r="C73" s="461" t="s">
        <v>1980</v>
      </c>
      <c r="D73" s="461" t="s">
        <v>1980</v>
      </c>
      <c r="E73" s="461" t="s">
        <v>1980</v>
      </c>
      <c r="F73" s="461" t="s">
        <v>1980</v>
      </c>
      <c r="G73" s="461" t="s">
        <v>1980</v>
      </c>
      <c r="H73" s="461" t="s">
        <v>1980</v>
      </c>
      <c r="I73" s="461" t="s">
        <v>1980</v>
      </c>
      <c r="J73" s="461" t="s">
        <v>1980</v>
      </c>
      <c r="K73" s="461" t="s">
        <v>1980</v>
      </c>
      <c r="L73" s="461" t="s">
        <v>1980</v>
      </c>
      <c r="M73" s="461" t="s">
        <v>1980</v>
      </c>
      <c r="N73" s="461" t="s">
        <v>1980</v>
      </c>
      <c r="O73" s="461" t="s">
        <v>1980</v>
      </c>
      <c r="P73" s="461" t="s">
        <v>1980</v>
      </c>
    </row>
    <row r="74" spans="1:16" ht="13.5" thickBot="1">
      <c r="A74" s="445" t="s">
        <v>2680</v>
      </c>
      <c r="B74" s="461" t="s">
        <v>1980</v>
      </c>
      <c r="C74" s="461" t="s">
        <v>1980</v>
      </c>
      <c r="D74" s="461" t="s">
        <v>1980</v>
      </c>
      <c r="E74" s="461" t="s">
        <v>1980</v>
      </c>
      <c r="F74" s="461" t="s">
        <v>1980</v>
      </c>
      <c r="G74" s="461" t="s">
        <v>1980</v>
      </c>
      <c r="H74" s="461" t="s">
        <v>1980</v>
      </c>
      <c r="I74" s="461" t="s">
        <v>1980</v>
      </c>
      <c r="J74" s="461" t="s">
        <v>1980</v>
      </c>
      <c r="K74" s="461" t="s">
        <v>1980</v>
      </c>
      <c r="L74" s="461" t="s">
        <v>1980</v>
      </c>
      <c r="M74" s="461" t="s">
        <v>1980</v>
      </c>
      <c r="N74" s="461" t="s">
        <v>1980</v>
      </c>
      <c r="O74" s="461" t="s">
        <v>1980</v>
      </c>
      <c r="P74" s="461" t="s">
        <v>1980</v>
      </c>
    </row>
    <row r="75" spans="1:16" ht="13.5" thickBot="1">
      <c r="A75" s="468" t="s">
        <v>2681</v>
      </c>
      <c r="B75" s="461">
        <v>150</v>
      </c>
      <c r="C75" s="461">
        <v>164</v>
      </c>
      <c r="D75" s="461">
        <v>203</v>
      </c>
      <c r="E75" s="461">
        <v>196</v>
      </c>
      <c r="F75" s="461">
        <v>196</v>
      </c>
      <c r="G75" s="461">
        <v>202</v>
      </c>
      <c r="H75" s="461">
        <v>297</v>
      </c>
      <c r="I75" s="461">
        <v>379</v>
      </c>
      <c r="J75" s="461">
        <v>370</v>
      </c>
      <c r="K75" s="461">
        <v>310</v>
      </c>
      <c r="L75" s="461">
        <v>205</v>
      </c>
      <c r="M75" s="461">
        <v>249</v>
      </c>
      <c r="N75" s="461">
        <v>225</v>
      </c>
      <c r="O75" s="462">
        <f t="shared" si="22"/>
        <v>3146</v>
      </c>
      <c r="P75" s="463">
        <f t="shared" si="23"/>
        <v>0.18019359642591215</v>
      </c>
    </row>
    <row r="76" spans="1:16" ht="13.5" thickBot="1">
      <c r="A76" s="468" t="s">
        <v>1128</v>
      </c>
      <c r="B76" s="461">
        <v>512</v>
      </c>
      <c r="C76" s="461">
        <v>487</v>
      </c>
      <c r="D76" s="461">
        <v>491</v>
      </c>
      <c r="E76" s="461">
        <v>492</v>
      </c>
      <c r="F76" s="461">
        <v>501</v>
      </c>
      <c r="G76" s="461">
        <v>510</v>
      </c>
      <c r="H76" s="461">
        <v>538</v>
      </c>
      <c r="I76" s="461">
        <v>508</v>
      </c>
      <c r="J76" s="461">
        <v>507</v>
      </c>
      <c r="K76" s="461">
        <v>508</v>
      </c>
      <c r="L76" s="461">
        <v>571</v>
      </c>
      <c r="M76" s="461">
        <v>532</v>
      </c>
      <c r="N76" s="461">
        <v>468</v>
      </c>
      <c r="O76" s="462">
        <f t="shared" si="22"/>
        <v>6625</v>
      </c>
      <c r="P76" s="463">
        <f t="shared" si="23"/>
        <v>0.3794604501976058</v>
      </c>
    </row>
    <row r="77" spans="1:16" ht="13.5" thickBot="1">
      <c r="A77" s="457" t="s">
        <v>2023</v>
      </c>
      <c r="B77" s="465">
        <f aca="true" t="shared" si="24" ref="B77:N77">SUM(B78:B86)</f>
        <v>9437</v>
      </c>
      <c r="C77" s="465">
        <f t="shared" si="24"/>
        <v>9317</v>
      </c>
      <c r="D77" s="465">
        <f t="shared" si="24"/>
        <v>10049</v>
      </c>
      <c r="E77" s="465">
        <f t="shared" si="24"/>
        <v>9941</v>
      </c>
      <c r="F77" s="465">
        <f t="shared" si="24"/>
        <v>10460</v>
      </c>
      <c r="G77" s="465">
        <f t="shared" si="24"/>
        <v>10903</v>
      </c>
      <c r="H77" s="465">
        <f t="shared" si="24"/>
        <v>10658</v>
      </c>
      <c r="I77" s="465">
        <f t="shared" si="24"/>
        <v>10737</v>
      </c>
      <c r="J77" s="465">
        <f t="shared" si="24"/>
        <v>9216</v>
      </c>
      <c r="K77" s="465">
        <f t="shared" si="24"/>
        <v>9228</v>
      </c>
      <c r="L77" s="465">
        <f t="shared" si="24"/>
        <v>9615</v>
      </c>
      <c r="M77" s="465">
        <f t="shared" si="24"/>
        <v>9558</v>
      </c>
      <c r="N77" s="465">
        <f t="shared" si="24"/>
        <v>9098</v>
      </c>
      <c r="O77" s="458">
        <f>SUM(B77:N77)</f>
        <v>128217</v>
      </c>
      <c r="P77" s="467">
        <f>SUM(P78:P86)</f>
        <v>1</v>
      </c>
    </row>
    <row r="78" spans="1:16" ht="13.5" thickBot="1">
      <c r="A78" s="460" t="s">
        <v>2674</v>
      </c>
      <c r="B78" s="461">
        <v>407</v>
      </c>
      <c r="C78" s="461">
        <v>335</v>
      </c>
      <c r="D78" s="461">
        <v>383</v>
      </c>
      <c r="E78" s="461">
        <v>516</v>
      </c>
      <c r="F78" s="461">
        <v>480</v>
      </c>
      <c r="G78" s="461">
        <v>454</v>
      </c>
      <c r="H78" s="461">
        <v>487</v>
      </c>
      <c r="I78" s="461">
        <v>466</v>
      </c>
      <c r="J78" s="461">
        <v>332</v>
      </c>
      <c r="K78" s="461">
        <v>414</v>
      </c>
      <c r="L78" s="461">
        <v>425</v>
      </c>
      <c r="M78" s="461">
        <v>388</v>
      </c>
      <c r="N78" s="461">
        <v>343</v>
      </c>
      <c r="O78" s="462">
        <f aca="true" t="shared" si="25" ref="O78:O86">SUM(B78:N78)</f>
        <v>5430</v>
      </c>
      <c r="P78" s="463">
        <f aca="true" t="shared" si="26" ref="P78:P86">O78/O$77</f>
        <v>0.04235007838274176</v>
      </c>
    </row>
    <row r="79" spans="1:16" ht="13.5" thickBot="1">
      <c r="A79" s="460" t="s">
        <v>2675</v>
      </c>
      <c r="B79" s="461">
        <v>511</v>
      </c>
      <c r="C79" s="461">
        <v>597</v>
      </c>
      <c r="D79" s="461">
        <v>582</v>
      </c>
      <c r="E79" s="461">
        <v>482</v>
      </c>
      <c r="F79" s="461">
        <v>330</v>
      </c>
      <c r="G79" s="461">
        <v>317</v>
      </c>
      <c r="H79" s="461">
        <v>295</v>
      </c>
      <c r="I79" s="461">
        <v>175</v>
      </c>
      <c r="J79" s="461">
        <v>68</v>
      </c>
      <c r="K79" s="461">
        <v>78</v>
      </c>
      <c r="L79" s="461">
        <v>96</v>
      </c>
      <c r="M79" s="461">
        <v>98</v>
      </c>
      <c r="N79" s="461">
        <v>89</v>
      </c>
      <c r="O79" s="462">
        <f t="shared" si="25"/>
        <v>3718</v>
      </c>
      <c r="P79" s="463">
        <f t="shared" si="26"/>
        <v>0.028997714811608444</v>
      </c>
    </row>
    <row r="80" spans="1:16" ht="13.5" thickBot="1">
      <c r="A80" s="460" t="s">
        <v>2676</v>
      </c>
      <c r="B80" s="461">
        <v>1393</v>
      </c>
      <c r="C80" s="461">
        <v>1167</v>
      </c>
      <c r="D80" s="461">
        <v>1249</v>
      </c>
      <c r="E80" s="461">
        <v>1295</v>
      </c>
      <c r="F80" s="461">
        <v>1487</v>
      </c>
      <c r="G80" s="461">
        <v>1536</v>
      </c>
      <c r="H80" s="461">
        <v>1630</v>
      </c>
      <c r="I80" s="461">
        <v>1567</v>
      </c>
      <c r="J80" s="461">
        <v>1035</v>
      </c>
      <c r="K80" s="461">
        <v>1128</v>
      </c>
      <c r="L80" s="461">
        <v>1348</v>
      </c>
      <c r="M80" s="461">
        <v>1179</v>
      </c>
      <c r="N80" s="461">
        <v>1214</v>
      </c>
      <c r="O80" s="462">
        <f t="shared" si="25"/>
        <v>17228</v>
      </c>
      <c r="P80" s="463">
        <f t="shared" si="26"/>
        <v>0.13436595771231585</v>
      </c>
    </row>
    <row r="81" spans="1:16" ht="13.5" thickBot="1">
      <c r="A81" s="460" t="s">
        <v>2677</v>
      </c>
      <c r="B81" s="461">
        <v>-50</v>
      </c>
      <c r="C81" s="461">
        <v>12</v>
      </c>
      <c r="D81" s="461">
        <v>11</v>
      </c>
      <c r="E81" s="461">
        <v>4</v>
      </c>
      <c r="F81" s="461">
        <v>6</v>
      </c>
      <c r="G81" s="461">
        <v>1</v>
      </c>
      <c r="H81" s="461">
        <v>3</v>
      </c>
      <c r="I81" s="461">
        <v>1</v>
      </c>
      <c r="J81" s="461" t="s">
        <v>1980</v>
      </c>
      <c r="K81" s="461">
        <v>6</v>
      </c>
      <c r="L81" s="461" t="s">
        <v>1980</v>
      </c>
      <c r="M81" s="461" t="s">
        <v>1980</v>
      </c>
      <c r="N81" s="461" t="s">
        <v>1980</v>
      </c>
      <c r="O81" s="462">
        <f t="shared" si="25"/>
        <v>-6</v>
      </c>
      <c r="P81" s="463">
        <f t="shared" si="26"/>
        <v>-4.679566672126161E-05</v>
      </c>
    </row>
    <row r="82" spans="1:16" ht="13.5" thickBot="1">
      <c r="A82" s="460" t="s">
        <v>2678</v>
      </c>
      <c r="B82" s="461">
        <v>3588</v>
      </c>
      <c r="C82" s="461">
        <v>3639</v>
      </c>
      <c r="D82" s="461">
        <v>4046</v>
      </c>
      <c r="E82" s="461">
        <v>3908</v>
      </c>
      <c r="F82" s="461">
        <v>4262</v>
      </c>
      <c r="G82" s="461">
        <v>4594</v>
      </c>
      <c r="H82" s="461">
        <v>4291</v>
      </c>
      <c r="I82" s="461">
        <v>4346</v>
      </c>
      <c r="J82" s="461">
        <v>3751</v>
      </c>
      <c r="K82" s="461">
        <v>3346</v>
      </c>
      <c r="L82" s="461">
        <v>3248</v>
      </c>
      <c r="M82" s="461">
        <v>3354</v>
      </c>
      <c r="N82" s="461">
        <v>2985</v>
      </c>
      <c r="O82" s="462">
        <f t="shared" si="25"/>
        <v>49358</v>
      </c>
      <c r="P82" s="463">
        <f t="shared" si="26"/>
        <v>0.38495675300467175</v>
      </c>
    </row>
    <row r="83" spans="1:16" ht="13.5" thickBot="1">
      <c r="A83" s="445" t="s">
        <v>2679</v>
      </c>
      <c r="B83" s="461">
        <f>543+1</f>
        <v>544</v>
      </c>
      <c r="C83" s="461">
        <f>639+3</f>
        <v>642</v>
      </c>
      <c r="D83" s="461">
        <f>681+25</f>
        <v>706</v>
      </c>
      <c r="E83" s="461">
        <f>708+28</f>
        <v>736</v>
      </c>
      <c r="F83" s="461">
        <f>691+33+54</f>
        <v>778</v>
      </c>
      <c r="G83" s="461">
        <f>735+38+55</f>
        <v>828</v>
      </c>
      <c r="H83" s="461">
        <f>675+35+66</f>
        <v>776</v>
      </c>
      <c r="I83" s="461">
        <f>763+33</f>
        <v>796</v>
      </c>
      <c r="J83" s="461">
        <f>754+33</f>
        <v>787</v>
      </c>
      <c r="K83" s="461">
        <f>913+43</f>
        <v>956</v>
      </c>
      <c r="L83" s="461">
        <f>975+47</f>
        <v>1022</v>
      </c>
      <c r="M83" s="461">
        <f>1113+48</f>
        <v>1161</v>
      </c>
      <c r="N83" s="461">
        <f>1140+52</f>
        <v>1192</v>
      </c>
      <c r="O83" s="462">
        <f t="shared" si="25"/>
        <v>10924</v>
      </c>
      <c r="P83" s="463">
        <f t="shared" si="26"/>
        <v>0.08519931054384364</v>
      </c>
    </row>
    <row r="84" spans="1:16" ht="13.5" thickBot="1">
      <c r="A84" s="445" t="s">
        <v>2680</v>
      </c>
      <c r="B84" s="461" t="s">
        <v>1980</v>
      </c>
      <c r="C84" s="461" t="s">
        <v>1980</v>
      </c>
      <c r="D84" s="461" t="s">
        <v>1980</v>
      </c>
      <c r="E84" s="461" t="s">
        <v>1980</v>
      </c>
      <c r="F84" s="461" t="s">
        <v>1980</v>
      </c>
      <c r="G84" s="461" t="s">
        <v>1980</v>
      </c>
      <c r="H84" s="461" t="s">
        <v>1980</v>
      </c>
      <c r="I84" s="461" t="s">
        <v>1980</v>
      </c>
      <c r="J84" s="461" t="s">
        <v>1980</v>
      </c>
      <c r="K84" s="461" t="s">
        <v>1980</v>
      </c>
      <c r="L84" s="461" t="s">
        <v>1980</v>
      </c>
      <c r="M84" s="461">
        <v>1</v>
      </c>
      <c r="N84" s="461" t="s">
        <v>1980</v>
      </c>
      <c r="O84" s="462">
        <f t="shared" si="25"/>
        <v>1</v>
      </c>
      <c r="P84" s="463">
        <f t="shared" si="26"/>
        <v>7.799277786876935E-06</v>
      </c>
    </row>
    <row r="85" spans="1:16" ht="13.5" thickBot="1">
      <c r="A85" s="468" t="s">
        <v>2681</v>
      </c>
      <c r="B85" s="461">
        <v>935</v>
      </c>
      <c r="C85" s="461">
        <v>859</v>
      </c>
      <c r="D85" s="461">
        <v>914</v>
      </c>
      <c r="E85" s="461">
        <v>874</v>
      </c>
      <c r="F85" s="461">
        <v>909</v>
      </c>
      <c r="G85" s="461">
        <v>858</v>
      </c>
      <c r="H85" s="461">
        <v>811</v>
      </c>
      <c r="I85" s="461">
        <v>923</v>
      </c>
      <c r="J85" s="461">
        <v>929</v>
      </c>
      <c r="K85" s="461">
        <v>963</v>
      </c>
      <c r="L85" s="461">
        <v>1041</v>
      </c>
      <c r="M85" s="461">
        <v>984</v>
      </c>
      <c r="N85" s="461">
        <v>907</v>
      </c>
      <c r="O85" s="462">
        <f t="shared" si="25"/>
        <v>11907</v>
      </c>
      <c r="P85" s="463">
        <f t="shared" si="26"/>
        <v>0.09286600060834367</v>
      </c>
    </row>
    <row r="86" spans="1:16" ht="13.5" thickBot="1">
      <c r="A86" s="468" t="s">
        <v>1128</v>
      </c>
      <c r="B86" s="461">
        <v>2109</v>
      </c>
      <c r="C86" s="461">
        <v>2066</v>
      </c>
      <c r="D86" s="461">
        <v>2158</v>
      </c>
      <c r="E86" s="461">
        <v>2126</v>
      </c>
      <c r="F86" s="461">
        <v>2208</v>
      </c>
      <c r="G86" s="461">
        <v>2315</v>
      </c>
      <c r="H86" s="461">
        <v>2365</v>
      </c>
      <c r="I86" s="461">
        <v>2463</v>
      </c>
      <c r="J86" s="461">
        <v>2314</v>
      </c>
      <c r="K86" s="461">
        <v>2337</v>
      </c>
      <c r="L86" s="461">
        <v>2435</v>
      </c>
      <c r="M86" s="461">
        <v>2393</v>
      </c>
      <c r="N86" s="461">
        <v>2368</v>
      </c>
      <c r="O86" s="462">
        <f t="shared" si="25"/>
        <v>29657</v>
      </c>
      <c r="P86" s="463">
        <f t="shared" si="26"/>
        <v>0.23130318132540928</v>
      </c>
    </row>
    <row r="87" spans="1:16" ht="13.5" thickBot="1">
      <c r="A87" s="457" t="s">
        <v>2024</v>
      </c>
      <c r="B87" s="465">
        <f aca="true" t="shared" si="27" ref="B87:N87">SUM(B88:B93)</f>
        <v>804</v>
      </c>
      <c r="C87" s="465">
        <f t="shared" si="27"/>
        <v>604</v>
      </c>
      <c r="D87" s="465">
        <f t="shared" si="27"/>
        <v>745</v>
      </c>
      <c r="E87" s="465">
        <f t="shared" si="27"/>
        <v>756</v>
      </c>
      <c r="F87" s="465">
        <f t="shared" si="27"/>
        <v>849</v>
      </c>
      <c r="G87" s="465">
        <f t="shared" si="27"/>
        <v>816</v>
      </c>
      <c r="H87" s="465">
        <f t="shared" si="27"/>
        <v>814</v>
      </c>
      <c r="I87" s="465">
        <f t="shared" si="27"/>
        <v>995</v>
      </c>
      <c r="J87" s="465">
        <f t="shared" si="27"/>
        <v>579</v>
      </c>
      <c r="K87" s="465">
        <f t="shared" si="27"/>
        <v>422</v>
      </c>
      <c r="L87" s="465">
        <f t="shared" si="27"/>
        <v>506</v>
      </c>
      <c r="M87" s="465">
        <f t="shared" si="27"/>
        <v>466</v>
      </c>
      <c r="N87" s="465">
        <f t="shared" si="27"/>
        <v>462</v>
      </c>
      <c r="O87" s="458">
        <f>SUM(B87:N87)</f>
        <v>8818</v>
      </c>
      <c r="P87" s="467">
        <f>SUM(P88:P93)</f>
        <v>1</v>
      </c>
    </row>
    <row r="88" spans="1:16" ht="13.5" thickBot="1">
      <c r="A88" s="460" t="s">
        <v>2674</v>
      </c>
      <c r="B88" s="461" t="s">
        <v>1980</v>
      </c>
      <c r="C88" s="461" t="s">
        <v>1980</v>
      </c>
      <c r="D88" s="461" t="s">
        <v>1980</v>
      </c>
      <c r="E88" s="461" t="s">
        <v>1980</v>
      </c>
      <c r="F88" s="461" t="s">
        <v>1980</v>
      </c>
      <c r="G88" s="461" t="s">
        <v>1980</v>
      </c>
      <c r="H88" s="461" t="s">
        <v>1980</v>
      </c>
      <c r="I88" s="461">
        <v>11</v>
      </c>
      <c r="J88" s="461">
        <v>8</v>
      </c>
      <c r="K88" s="461">
        <v>8</v>
      </c>
      <c r="L88" s="461">
        <v>10</v>
      </c>
      <c r="M88" s="461">
        <v>9</v>
      </c>
      <c r="N88" s="461">
        <v>6</v>
      </c>
      <c r="O88" s="462">
        <f>SUM(B88:N88)</f>
        <v>52</v>
      </c>
      <c r="P88" s="463">
        <f>O88/O$87</f>
        <v>0.005897028804717623</v>
      </c>
    </row>
    <row r="89" spans="1:16" ht="13.5" thickBot="1">
      <c r="A89" s="460" t="s">
        <v>2675</v>
      </c>
      <c r="B89" s="461" t="s">
        <v>1980</v>
      </c>
      <c r="C89" s="461" t="s">
        <v>1980</v>
      </c>
      <c r="D89" s="461" t="s">
        <v>1980</v>
      </c>
      <c r="E89" s="461" t="s">
        <v>1980</v>
      </c>
      <c r="F89" s="461" t="s">
        <v>1980</v>
      </c>
      <c r="G89" s="461" t="s">
        <v>1980</v>
      </c>
      <c r="H89" s="461" t="s">
        <v>1980</v>
      </c>
      <c r="I89" s="461">
        <v>49</v>
      </c>
      <c r="J89" s="461">
        <v>43</v>
      </c>
      <c r="K89" s="461">
        <v>48</v>
      </c>
      <c r="L89" s="461">
        <v>45</v>
      </c>
      <c r="M89" s="461">
        <v>44</v>
      </c>
      <c r="N89" s="461">
        <v>46</v>
      </c>
      <c r="O89" s="462">
        <f>SUM(B89:N89)</f>
        <v>275</v>
      </c>
      <c r="P89" s="463">
        <f>O89/O$87</f>
        <v>0.03118621002494897</v>
      </c>
    </row>
    <row r="90" spans="1:16" ht="13.5" thickBot="1">
      <c r="A90" s="460" t="s">
        <v>2676</v>
      </c>
      <c r="B90" s="461">
        <v>318</v>
      </c>
      <c r="C90" s="461">
        <v>216</v>
      </c>
      <c r="D90" s="461">
        <v>223</v>
      </c>
      <c r="E90" s="461">
        <v>265</v>
      </c>
      <c r="F90" s="461">
        <v>310</v>
      </c>
      <c r="G90" s="461">
        <v>244</v>
      </c>
      <c r="H90" s="461">
        <v>244</v>
      </c>
      <c r="I90" s="461">
        <v>271</v>
      </c>
      <c r="J90" s="461">
        <v>156</v>
      </c>
      <c r="K90" s="461">
        <v>192</v>
      </c>
      <c r="L90" s="461">
        <v>249</v>
      </c>
      <c r="M90" s="461">
        <v>184</v>
      </c>
      <c r="N90" s="461">
        <v>207</v>
      </c>
      <c r="O90" s="462">
        <f>SUM(B90:N90)</f>
        <v>3079</v>
      </c>
      <c r="P90" s="463">
        <f>O90/O$87</f>
        <v>0.3491721478793377</v>
      </c>
    </row>
    <row r="91" spans="1:16" ht="13.5" thickBot="1">
      <c r="A91" s="460" t="s">
        <v>2677</v>
      </c>
      <c r="B91" s="461" t="s">
        <v>1980</v>
      </c>
      <c r="C91" s="461" t="s">
        <v>1980</v>
      </c>
      <c r="D91" s="461" t="s">
        <v>1980</v>
      </c>
      <c r="E91" s="461" t="s">
        <v>1980</v>
      </c>
      <c r="F91" s="461" t="s">
        <v>1980</v>
      </c>
      <c r="G91" s="461" t="s">
        <v>1980</v>
      </c>
      <c r="H91" s="461" t="s">
        <v>1980</v>
      </c>
      <c r="I91" s="461" t="s">
        <v>1980</v>
      </c>
      <c r="J91" s="461" t="s">
        <v>1980</v>
      </c>
      <c r="K91" s="461" t="s">
        <v>1980</v>
      </c>
      <c r="L91" s="461" t="s">
        <v>1980</v>
      </c>
      <c r="M91" s="461" t="s">
        <v>1980</v>
      </c>
      <c r="N91" s="461" t="s">
        <v>1980</v>
      </c>
      <c r="O91" s="461" t="s">
        <v>1980</v>
      </c>
      <c r="P91" s="461" t="s">
        <v>1980</v>
      </c>
    </row>
    <row r="92" spans="1:16" ht="13.5" thickBot="1">
      <c r="A92" s="460" t="s">
        <v>2678</v>
      </c>
      <c r="B92" s="461">
        <v>486</v>
      </c>
      <c r="C92" s="461">
        <v>388</v>
      </c>
      <c r="D92" s="461">
        <v>522</v>
      </c>
      <c r="E92" s="461">
        <v>491</v>
      </c>
      <c r="F92" s="461">
        <v>539</v>
      </c>
      <c r="G92" s="461">
        <v>572</v>
      </c>
      <c r="H92" s="461">
        <v>570</v>
      </c>
      <c r="I92" s="461">
        <v>664</v>
      </c>
      <c r="J92" s="461">
        <v>372</v>
      </c>
      <c r="K92" s="461">
        <v>174</v>
      </c>
      <c r="L92" s="461">
        <v>202</v>
      </c>
      <c r="M92" s="461">
        <v>229</v>
      </c>
      <c r="N92" s="461">
        <v>203</v>
      </c>
      <c r="O92" s="462">
        <f>SUM(B92:N92)</f>
        <v>5412</v>
      </c>
      <c r="P92" s="463">
        <f>O92/O$87</f>
        <v>0.6137446132909957</v>
      </c>
    </row>
    <row r="93" spans="1:16" ht="13.5" thickBot="1">
      <c r="A93" s="470" t="s">
        <v>2065</v>
      </c>
      <c r="B93" s="461"/>
      <c r="C93" s="461"/>
      <c r="D93" s="461"/>
      <c r="E93" s="461"/>
      <c r="F93" s="461"/>
      <c r="G93" s="461"/>
      <c r="H93" s="461"/>
      <c r="I93" s="461"/>
      <c r="J93" s="461"/>
      <c r="K93" s="461" t="s">
        <v>1980</v>
      </c>
      <c r="L93" s="461" t="s">
        <v>1980</v>
      </c>
      <c r="M93" s="461" t="s">
        <v>1980</v>
      </c>
      <c r="N93" s="461" t="s">
        <v>1980</v>
      </c>
      <c r="O93" s="461" t="s">
        <v>1980</v>
      </c>
      <c r="P93" s="461" t="s">
        <v>1980</v>
      </c>
    </row>
    <row r="94" spans="1:16" ht="13.5" thickBot="1">
      <c r="A94" s="457" t="s">
        <v>2025</v>
      </c>
      <c r="B94" s="465">
        <f aca="true" t="shared" si="28" ref="B94:N94">SUM(B95:B103)</f>
        <v>8574</v>
      </c>
      <c r="C94" s="465">
        <f t="shared" si="28"/>
        <v>8601</v>
      </c>
      <c r="D94" s="465">
        <f t="shared" si="28"/>
        <v>9247</v>
      </c>
      <c r="E94" s="465">
        <f t="shared" si="28"/>
        <v>9150</v>
      </c>
      <c r="F94" s="465">
        <f t="shared" si="28"/>
        <v>8170</v>
      </c>
      <c r="G94" s="465">
        <f t="shared" si="28"/>
        <v>9880</v>
      </c>
      <c r="H94" s="465">
        <f t="shared" si="28"/>
        <v>9748</v>
      </c>
      <c r="I94" s="465">
        <f t="shared" si="28"/>
        <v>9552</v>
      </c>
      <c r="J94" s="465">
        <f t="shared" si="28"/>
        <v>8493</v>
      </c>
      <c r="K94" s="465">
        <f t="shared" si="28"/>
        <v>8720</v>
      </c>
      <c r="L94" s="465">
        <f t="shared" si="28"/>
        <v>9050</v>
      </c>
      <c r="M94" s="465">
        <f t="shared" si="28"/>
        <v>9044</v>
      </c>
      <c r="N94" s="465">
        <f t="shared" si="28"/>
        <v>8598</v>
      </c>
      <c r="O94" s="458">
        <f>SUM(B94:N94)</f>
        <v>116827</v>
      </c>
      <c r="P94" s="467">
        <f>SUM(P95:P103)</f>
        <v>1.0000000000000002</v>
      </c>
    </row>
    <row r="95" spans="1:16" ht="13.5" thickBot="1">
      <c r="A95" s="460" t="s">
        <v>2674</v>
      </c>
      <c r="B95" s="461">
        <v>326</v>
      </c>
      <c r="C95" s="461">
        <v>333</v>
      </c>
      <c r="D95" s="461">
        <v>394</v>
      </c>
      <c r="E95" s="461">
        <v>486</v>
      </c>
      <c r="F95" s="461">
        <v>481</v>
      </c>
      <c r="G95" s="461">
        <v>462</v>
      </c>
      <c r="H95" s="461">
        <v>516</v>
      </c>
      <c r="I95" s="461">
        <v>455</v>
      </c>
      <c r="J95" s="461">
        <v>310</v>
      </c>
      <c r="K95" s="461">
        <v>402</v>
      </c>
      <c r="L95" s="461">
        <v>407</v>
      </c>
      <c r="M95" s="461">
        <v>380</v>
      </c>
      <c r="N95" s="461">
        <v>334</v>
      </c>
      <c r="O95" s="462">
        <f aca="true" t="shared" si="29" ref="O95:O103">SUM(B95:N95)</f>
        <v>5286</v>
      </c>
      <c r="P95" s="463">
        <f>O95/O$94</f>
        <v>0.045246389961224716</v>
      </c>
    </row>
    <row r="96" spans="1:16" ht="13.5" thickBot="1">
      <c r="A96" s="460" t="s">
        <v>2675</v>
      </c>
      <c r="B96" s="461">
        <v>490</v>
      </c>
      <c r="C96" s="461">
        <v>585</v>
      </c>
      <c r="D96" s="461">
        <v>597</v>
      </c>
      <c r="E96" s="461">
        <v>452</v>
      </c>
      <c r="F96" s="461">
        <v>318</v>
      </c>
      <c r="G96" s="461">
        <v>308</v>
      </c>
      <c r="H96" s="461">
        <v>296</v>
      </c>
      <c r="I96" s="461">
        <v>125</v>
      </c>
      <c r="J96" s="461">
        <v>27</v>
      </c>
      <c r="K96" s="461">
        <v>27</v>
      </c>
      <c r="L96" s="461">
        <v>53</v>
      </c>
      <c r="M96" s="461">
        <v>54</v>
      </c>
      <c r="N96" s="461">
        <v>45</v>
      </c>
      <c r="O96" s="462">
        <f t="shared" si="29"/>
        <v>3377</v>
      </c>
      <c r="P96" s="463">
        <f>O96/O$94</f>
        <v>0.028905989197702587</v>
      </c>
    </row>
    <row r="97" spans="1:16" ht="13.5" thickBot="1">
      <c r="A97" s="460" t="s">
        <v>2676</v>
      </c>
      <c r="B97" s="461">
        <v>1061</v>
      </c>
      <c r="C97" s="461">
        <v>932</v>
      </c>
      <c r="D97" s="461">
        <v>1013</v>
      </c>
      <c r="E97" s="461">
        <v>1034</v>
      </c>
      <c r="F97" s="461">
        <v>1152</v>
      </c>
      <c r="G97" s="461">
        <v>1237</v>
      </c>
      <c r="H97" s="461">
        <v>1301</v>
      </c>
      <c r="I97" s="461">
        <v>1231</v>
      </c>
      <c r="J97" s="461">
        <v>849</v>
      </c>
      <c r="K97" s="461">
        <v>916</v>
      </c>
      <c r="L97" s="461">
        <v>1073</v>
      </c>
      <c r="M97" s="461">
        <v>981</v>
      </c>
      <c r="N97" s="461">
        <v>978</v>
      </c>
      <c r="O97" s="462">
        <f t="shared" si="29"/>
        <v>13758</v>
      </c>
      <c r="P97" s="463">
        <f aca="true" t="shared" si="30" ref="P97:P103">O97/O$94</f>
        <v>0.11776387307728521</v>
      </c>
    </row>
    <row r="98" spans="1:16" ht="13.5" thickBot="1">
      <c r="A98" s="460" t="s">
        <v>2677</v>
      </c>
      <c r="B98" s="461">
        <v>5</v>
      </c>
      <c r="C98" s="461">
        <v>6</v>
      </c>
      <c r="D98" s="461">
        <v>3</v>
      </c>
      <c r="E98" s="461">
        <v>4</v>
      </c>
      <c r="F98" s="461">
        <v>2</v>
      </c>
      <c r="G98" s="461">
        <v>1</v>
      </c>
      <c r="H98" s="461">
        <v>1</v>
      </c>
      <c r="I98" s="461" t="s">
        <v>1980</v>
      </c>
      <c r="J98" s="461" t="s">
        <v>1980</v>
      </c>
      <c r="K98" s="461" t="s">
        <v>1980</v>
      </c>
      <c r="L98" s="461" t="s">
        <v>1980</v>
      </c>
      <c r="M98" s="461" t="s">
        <v>1980</v>
      </c>
      <c r="N98" s="461" t="s">
        <v>1980</v>
      </c>
      <c r="O98" s="462">
        <f t="shared" si="29"/>
        <v>22</v>
      </c>
      <c r="P98" s="463">
        <f t="shared" si="30"/>
        <v>0.00018831263320978882</v>
      </c>
    </row>
    <row r="99" spans="1:16" ht="13.5" thickBot="1">
      <c r="A99" s="460" t="s">
        <v>2678</v>
      </c>
      <c r="B99" s="461">
        <v>3109</v>
      </c>
      <c r="C99" s="461">
        <v>3177</v>
      </c>
      <c r="D99" s="461">
        <v>3465</v>
      </c>
      <c r="E99" s="461">
        <v>3449</v>
      </c>
      <c r="F99" s="461">
        <v>3667</v>
      </c>
      <c r="G99" s="461">
        <v>3868</v>
      </c>
      <c r="H99" s="461">
        <v>3704</v>
      </c>
      <c r="I99" s="461">
        <v>3561</v>
      </c>
      <c r="J99" s="461">
        <v>3281</v>
      </c>
      <c r="K99" s="461">
        <v>3135</v>
      </c>
      <c r="L99" s="461">
        <v>3027</v>
      </c>
      <c r="M99" s="461">
        <v>3098</v>
      </c>
      <c r="N99" s="461">
        <v>2775</v>
      </c>
      <c r="O99" s="462">
        <f t="shared" si="29"/>
        <v>43316</v>
      </c>
      <c r="P99" s="463">
        <f t="shared" si="30"/>
        <v>0.37077045545978243</v>
      </c>
    </row>
    <row r="100" spans="1:16" ht="13.5" thickBot="1">
      <c r="A100" s="445" t="s">
        <v>2679</v>
      </c>
      <c r="B100" s="461">
        <f>540+1</f>
        <v>541</v>
      </c>
      <c r="C100" s="461">
        <f>639+3</f>
        <v>642</v>
      </c>
      <c r="D100" s="461">
        <f>681+25</f>
        <v>706</v>
      </c>
      <c r="E100" s="461">
        <f>709+28</f>
        <v>737</v>
      </c>
      <c r="F100" s="461">
        <f>691+33+54</f>
        <v>778</v>
      </c>
      <c r="G100" s="461">
        <f>735+38+55</f>
        <v>828</v>
      </c>
      <c r="H100" s="461">
        <f>675+35+66</f>
        <v>776</v>
      </c>
      <c r="I100" s="461">
        <f>760+33</f>
        <v>793</v>
      </c>
      <c r="J100" s="461">
        <f>753+33</f>
        <v>786</v>
      </c>
      <c r="K100" s="461">
        <f>911+43</f>
        <v>954</v>
      </c>
      <c r="L100" s="461">
        <f>972+47</f>
        <v>1019</v>
      </c>
      <c r="M100" s="461">
        <f>1112+48</f>
        <v>1160</v>
      </c>
      <c r="N100" s="461">
        <f>1141+52</f>
        <v>1193</v>
      </c>
      <c r="O100" s="462">
        <f t="shared" si="29"/>
        <v>10913</v>
      </c>
      <c r="P100" s="463">
        <f t="shared" si="30"/>
        <v>0.09341162573720116</v>
      </c>
    </row>
    <row r="101" spans="1:16" ht="13.5" thickBot="1">
      <c r="A101" s="445" t="s">
        <v>2680</v>
      </c>
      <c r="B101" s="461" t="s">
        <v>1980</v>
      </c>
      <c r="C101" s="461" t="s">
        <v>1980</v>
      </c>
      <c r="D101" s="461" t="s">
        <v>1980</v>
      </c>
      <c r="E101" s="461" t="s">
        <v>1980</v>
      </c>
      <c r="F101" s="461" t="s">
        <v>1980</v>
      </c>
      <c r="G101" s="461" t="s">
        <v>1980</v>
      </c>
      <c r="H101" s="461" t="s">
        <v>1980</v>
      </c>
      <c r="I101" s="461" t="s">
        <v>1980</v>
      </c>
      <c r="J101" s="461"/>
      <c r="K101" s="461" t="s">
        <v>1980</v>
      </c>
      <c r="L101" s="461" t="s">
        <v>1980</v>
      </c>
      <c r="M101" s="461" t="s">
        <v>1980</v>
      </c>
      <c r="N101" s="461" t="s">
        <v>1980</v>
      </c>
      <c r="O101" s="461" t="s">
        <v>1980</v>
      </c>
      <c r="P101" s="461" t="s">
        <v>1980</v>
      </c>
    </row>
    <row r="102" spans="1:16" ht="13.5" thickBot="1">
      <c r="A102" s="468" t="s">
        <v>2681</v>
      </c>
      <c r="B102" s="461">
        <v>934</v>
      </c>
      <c r="C102" s="461">
        <v>860</v>
      </c>
      <c r="D102" s="461">
        <v>911</v>
      </c>
      <c r="E102" s="461">
        <v>866</v>
      </c>
      <c r="F102" s="461">
        <v>906</v>
      </c>
      <c r="G102" s="461">
        <v>866</v>
      </c>
      <c r="H102" s="461">
        <v>815</v>
      </c>
      <c r="I102" s="461">
        <v>925</v>
      </c>
      <c r="J102" s="461">
        <v>931</v>
      </c>
      <c r="K102" s="461">
        <v>958</v>
      </c>
      <c r="L102" s="461">
        <v>1037</v>
      </c>
      <c r="M102" s="461">
        <v>983</v>
      </c>
      <c r="N102" s="461">
        <v>906</v>
      </c>
      <c r="O102" s="462">
        <f t="shared" si="29"/>
        <v>11898</v>
      </c>
      <c r="P102" s="463">
        <f t="shared" si="30"/>
        <v>0.10184289590591217</v>
      </c>
    </row>
    <row r="103" spans="1:16" ht="13.5" thickBot="1">
      <c r="A103" s="468" t="s">
        <v>1128</v>
      </c>
      <c r="B103" s="461">
        <v>2108</v>
      </c>
      <c r="C103" s="461">
        <v>2066</v>
      </c>
      <c r="D103" s="461">
        <v>2158</v>
      </c>
      <c r="E103" s="461">
        <v>2122</v>
      </c>
      <c r="F103" s="461">
        <v>866</v>
      </c>
      <c r="G103" s="461">
        <v>2310</v>
      </c>
      <c r="H103" s="461">
        <v>2339</v>
      </c>
      <c r="I103" s="461">
        <v>2462</v>
      </c>
      <c r="J103" s="461">
        <v>2309</v>
      </c>
      <c r="K103" s="461">
        <v>2328</v>
      </c>
      <c r="L103" s="461">
        <v>2434</v>
      </c>
      <c r="M103" s="461">
        <v>2388</v>
      </c>
      <c r="N103" s="461">
        <v>2367</v>
      </c>
      <c r="O103" s="462">
        <f t="shared" si="29"/>
        <v>28257</v>
      </c>
      <c r="P103" s="463">
        <f t="shared" si="30"/>
        <v>0.24187045802768195</v>
      </c>
    </row>
    <row r="104" spans="1:17" ht="13.5" thickBot="1">
      <c r="A104" s="457" t="s">
        <v>2026</v>
      </c>
      <c r="B104" s="465">
        <f aca="true" t="shared" si="31" ref="B104:N104">SUM(B105:B113)</f>
        <v>3553</v>
      </c>
      <c r="C104" s="465">
        <f t="shared" si="31"/>
        <v>3336</v>
      </c>
      <c r="D104" s="465">
        <f t="shared" si="31"/>
        <v>3584</v>
      </c>
      <c r="E104" s="465">
        <f t="shared" si="31"/>
        <v>3648</v>
      </c>
      <c r="F104" s="465">
        <f t="shared" si="31"/>
        <v>3651</v>
      </c>
      <c r="G104" s="465">
        <f t="shared" si="31"/>
        <v>3689</v>
      </c>
      <c r="H104" s="465">
        <f t="shared" si="31"/>
        <v>3831</v>
      </c>
      <c r="I104" s="465">
        <f t="shared" si="31"/>
        <v>3451</v>
      </c>
      <c r="J104" s="465">
        <f t="shared" si="31"/>
        <v>2443</v>
      </c>
      <c r="K104" s="465">
        <f t="shared" si="31"/>
        <v>2549</v>
      </c>
      <c r="L104" s="465">
        <f t="shared" si="31"/>
        <v>2694</v>
      </c>
      <c r="M104" s="465">
        <f t="shared" si="31"/>
        <v>2577</v>
      </c>
      <c r="N104" s="465">
        <f t="shared" si="31"/>
        <v>2579</v>
      </c>
      <c r="O104" s="458">
        <f>SUM(B104:N104)</f>
        <v>41585</v>
      </c>
      <c r="P104" s="467">
        <f>SUM(P105:P113)</f>
        <v>0.9999999999999999</v>
      </c>
      <c r="Q104" s="87"/>
    </row>
    <row r="105" spans="1:17" ht="13.5" thickBot="1">
      <c r="A105" s="460" t="s">
        <v>2674</v>
      </c>
      <c r="B105" s="461">
        <v>271</v>
      </c>
      <c r="C105" s="461">
        <v>233</v>
      </c>
      <c r="D105" s="461">
        <v>234</v>
      </c>
      <c r="E105" s="461">
        <v>325</v>
      </c>
      <c r="F105" s="461">
        <v>303</v>
      </c>
      <c r="G105" s="461">
        <v>266</v>
      </c>
      <c r="H105" s="461">
        <v>346</v>
      </c>
      <c r="I105" s="461">
        <v>267</v>
      </c>
      <c r="J105" s="461">
        <v>152</v>
      </c>
      <c r="K105" s="461">
        <v>207</v>
      </c>
      <c r="L105" s="461">
        <v>193</v>
      </c>
      <c r="M105" s="461">
        <v>169</v>
      </c>
      <c r="N105" s="461">
        <v>160</v>
      </c>
      <c r="O105" s="462">
        <f aca="true" t="shared" si="32" ref="O105:O113">SUM(B105:N105)</f>
        <v>3126</v>
      </c>
      <c r="P105" s="463">
        <f aca="true" t="shared" si="33" ref="P105:P113">O105/O$104</f>
        <v>0.07517133581820368</v>
      </c>
      <c r="Q105" s="87"/>
    </row>
    <row r="106" spans="1:17" ht="13.5" thickBot="1">
      <c r="A106" s="460" t="s">
        <v>2675</v>
      </c>
      <c r="B106" s="461">
        <v>341</v>
      </c>
      <c r="C106" s="461">
        <v>332</v>
      </c>
      <c r="D106" s="461">
        <v>356</v>
      </c>
      <c r="E106" s="461">
        <v>304</v>
      </c>
      <c r="F106" s="461">
        <v>214</v>
      </c>
      <c r="G106" s="461">
        <v>214</v>
      </c>
      <c r="H106" s="461">
        <v>231</v>
      </c>
      <c r="I106" s="461">
        <v>90</v>
      </c>
      <c r="J106" s="461">
        <v>1</v>
      </c>
      <c r="K106" s="461" t="s">
        <v>1980</v>
      </c>
      <c r="L106" s="461">
        <v>2</v>
      </c>
      <c r="M106" s="461">
        <v>1</v>
      </c>
      <c r="N106" s="461">
        <v>1</v>
      </c>
      <c r="O106" s="462">
        <f t="shared" si="32"/>
        <v>2087</v>
      </c>
      <c r="P106" s="463">
        <f t="shared" si="33"/>
        <v>0.05018636527594084</v>
      </c>
      <c r="Q106" s="87"/>
    </row>
    <row r="107" spans="1:17" ht="13.5" thickBot="1">
      <c r="A107" s="460" t="s">
        <v>2676</v>
      </c>
      <c r="B107" s="461">
        <v>1028</v>
      </c>
      <c r="C107" s="461">
        <v>897</v>
      </c>
      <c r="D107" s="461">
        <v>965</v>
      </c>
      <c r="E107" s="461">
        <v>971</v>
      </c>
      <c r="F107" s="461">
        <v>1050</v>
      </c>
      <c r="G107" s="461">
        <v>1092</v>
      </c>
      <c r="H107" s="461">
        <v>1131</v>
      </c>
      <c r="I107" s="461">
        <v>1041</v>
      </c>
      <c r="J107" s="461">
        <v>657</v>
      </c>
      <c r="K107" s="461">
        <v>696</v>
      </c>
      <c r="L107" s="461">
        <v>846</v>
      </c>
      <c r="M107" s="461">
        <v>759</v>
      </c>
      <c r="N107" s="461">
        <v>756</v>
      </c>
      <c r="O107" s="462">
        <f t="shared" si="32"/>
        <v>11889</v>
      </c>
      <c r="P107" s="463">
        <f t="shared" si="33"/>
        <v>0.28589635685944453</v>
      </c>
      <c r="Q107" s="87"/>
    </row>
    <row r="108" spans="1:17" ht="13.5" thickBot="1">
      <c r="A108" s="460" t="s">
        <v>2677</v>
      </c>
      <c r="B108" s="461">
        <v>5</v>
      </c>
      <c r="C108" s="461">
        <v>6</v>
      </c>
      <c r="D108" s="461">
        <v>3</v>
      </c>
      <c r="E108" s="461">
        <v>4</v>
      </c>
      <c r="F108" s="461">
        <v>2</v>
      </c>
      <c r="G108" s="461">
        <v>1</v>
      </c>
      <c r="H108" s="461">
        <v>1</v>
      </c>
      <c r="I108" s="461" t="s">
        <v>1980</v>
      </c>
      <c r="J108" s="461" t="s">
        <v>1980</v>
      </c>
      <c r="K108" s="461" t="s">
        <v>1980</v>
      </c>
      <c r="L108" s="461" t="s">
        <v>1980</v>
      </c>
      <c r="M108" s="461" t="s">
        <v>1980</v>
      </c>
      <c r="N108" s="461" t="s">
        <v>1980</v>
      </c>
      <c r="O108" s="462">
        <f t="shared" si="32"/>
        <v>22</v>
      </c>
      <c r="P108" s="463">
        <f t="shared" si="33"/>
        <v>0.0005290369123482025</v>
      </c>
      <c r="Q108" s="87"/>
    </row>
    <row r="109" spans="1:17" ht="13.5" thickBot="1">
      <c r="A109" s="460" t="s">
        <v>2678</v>
      </c>
      <c r="B109" s="461">
        <v>771</v>
      </c>
      <c r="C109" s="461">
        <v>794</v>
      </c>
      <c r="D109" s="461">
        <v>851</v>
      </c>
      <c r="E109" s="461">
        <v>800</v>
      </c>
      <c r="F109" s="461">
        <v>775</v>
      </c>
      <c r="G109" s="461">
        <v>801</v>
      </c>
      <c r="H109" s="461">
        <v>817</v>
      </c>
      <c r="I109" s="461">
        <v>596</v>
      </c>
      <c r="J109" s="461">
        <v>375</v>
      </c>
      <c r="K109" s="461">
        <v>320</v>
      </c>
      <c r="L109" s="461">
        <v>213</v>
      </c>
      <c r="M109" s="461">
        <v>206</v>
      </c>
      <c r="N109" s="461">
        <v>205</v>
      </c>
      <c r="O109" s="462">
        <f t="shared" si="32"/>
        <v>7524</v>
      </c>
      <c r="P109" s="463">
        <f t="shared" si="33"/>
        <v>0.18093062402308524</v>
      </c>
      <c r="Q109" s="87"/>
    </row>
    <row r="110" spans="1:17" ht="13.5" thickBot="1">
      <c r="A110" s="470" t="s">
        <v>2065</v>
      </c>
      <c r="B110" s="461">
        <f>43+1</f>
        <v>44</v>
      </c>
      <c r="C110" s="461">
        <f>44+3</f>
        <v>47</v>
      </c>
      <c r="D110" s="461">
        <f>58+25</f>
        <v>83</v>
      </c>
      <c r="E110" s="461">
        <f>63+28</f>
        <v>91</v>
      </c>
      <c r="F110" s="461">
        <f>72+54</f>
        <v>126</v>
      </c>
      <c r="G110" s="461">
        <f>79+55</f>
        <v>134</v>
      </c>
      <c r="H110" s="461">
        <f>51+66</f>
        <v>117</v>
      </c>
      <c r="I110" s="461">
        <v>95</v>
      </c>
      <c r="J110" s="461">
        <v>78</v>
      </c>
      <c r="K110" s="461">
        <v>173</v>
      </c>
      <c r="L110" s="461">
        <v>194</v>
      </c>
      <c r="M110" s="461">
        <v>216</v>
      </c>
      <c r="N110" s="461">
        <v>249</v>
      </c>
      <c r="O110" s="462">
        <f t="shared" si="32"/>
        <v>1647</v>
      </c>
      <c r="P110" s="463">
        <f t="shared" si="33"/>
        <v>0.0396056270289768</v>
      </c>
      <c r="Q110" s="87"/>
    </row>
    <row r="111" spans="1:17" ht="13.5" thickBot="1">
      <c r="A111" s="445" t="s">
        <v>2680</v>
      </c>
      <c r="B111" s="461" t="s">
        <v>1980</v>
      </c>
      <c r="C111" s="461" t="s">
        <v>1980</v>
      </c>
      <c r="D111" s="461" t="s">
        <v>1980</v>
      </c>
      <c r="E111" s="461" t="s">
        <v>1980</v>
      </c>
      <c r="F111" s="461" t="s">
        <v>1980</v>
      </c>
      <c r="G111" s="461" t="s">
        <v>1980</v>
      </c>
      <c r="H111" s="461" t="s">
        <v>1980</v>
      </c>
      <c r="I111" s="461" t="s">
        <v>1980</v>
      </c>
      <c r="J111" s="461" t="s">
        <v>1980</v>
      </c>
      <c r="K111" s="461" t="s">
        <v>1980</v>
      </c>
      <c r="L111" s="461" t="s">
        <v>1980</v>
      </c>
      <c r="M111" s="461" t="s">
        <v>1980</v>
      </c>
      <c r="N111" s="461" t="s">
        <v>1980</v>
      </c>
      <c r="O111" s="461" t="s">
        <v>1980</v>
      </c>
      <c r="P111" s="461" t="s">
        <v>1980</v>
      </c>
      <c r="Q111" s="87"/>
    </row>
    <row r="112" spans="1:17" ht="13.5" thickBot="1">
      <c r="A112" s="468" t="s">
        <v>2681</v>
      </c>
      <c r="B112" s="461">
        <v>317</v>
      </c>
      <c r="C112" s="461">
        <v>299</v>
      </c>
      <c r="D112" s="461">
        <v>302</v>
      </c>
      <c r="E112" s="461">
        <v>318</v>
      </c>
      <c r="F112" s="461">
        <v>335</v>
      </c>
      <c r="G112" s="461">
        <v>318</v>
      </c>
      <c r="H112" s="461">
        <v>313</v>
      </c>
      <c r="I112" s="461">
        <v>463</v>
      </c>
      <c r="J112" s="461">
        <v>455</v>
      </c>
      <c r="K112" s="461">
        <v>480</v>
      </c>
      <c r="L112" s="461">
        <v>520</v>
      </c>
      <c r="M112" s="461">
        <v>518</v>
      </c>
      <c r="N112" s="461">
        <v>475</v>
      </c>
      <c r="O112" s="462">
        <f t="shared" si="32"/>
        <v>5113</v>
      </c>
      <c r="P112" s="463">
        <f t="shared" si="33"/>
        <v>0.12295298785619815</v>
      </c>
      <c r="Q112" s="87"/>
    </row>
    <row r="113" spans="1:17" ht="13.5" thickBot="1">
      <c r="A113" s="468" t="s">
        <v>1128</v>
      </c>
      <c r="B113" s="461">
        <v>776</v>
      </c>
      <c r="C113" s="461">
        <v>728</v>
      </c>
      <c r="D113" s="461">
        <v>790</v>
      </c>
      <c r="E113" s="461">
        <v>835</v>
      </c>
      <c r="F113" s="461">
        <v>846</v>
      </c>
      <c r="G113" s="461">
        <v>863</v>
      </c>
      <c r="H113" s="461">
        <v>875</v>
      </c>
      <c r="I113" s="461">
        <v>899</v>
      </c>
      <c r="J113" s="461">
        <v>725</v>
      </c>
      <c r="K113" s="461">
        <v>673</v>
      </c>
      <c r="L113" s="461">
        <v>726</v>
      </c>
      <c r="M113" s="461">
        <v>708</v>
      </c>
      <c r="N113" s="461">
        <v>733</v>
      </c>
      <c r="O113" s="462">
        <f t="shared" si="32"/>
        <v>10177</v>
      </c>
      <c r="P113" s="463">
        <f t="shared" si="33"/>
        <v>0.24472766622580258</v>
      </c>
      <c r="Q113" s="87"/>
    </row>
    <row r="114" spans="1:17" ht="13.5" thickBot="1">
      <c r="A114" s="457" t="s">
        <v>2027</v>
      </c>
      <c r="B114" s="465">
        <f aca="true" t="shared" si="34" ref="B114:N114">SUM(B115:B121)</f>
        <v>1948</v>
      </c>
      <c r="C114" s="465">
        <f t="shared" si="34"/>
        <v>2055</v>
      </c>
      <c r="D114" s="465">
        <f t="shared" si="34"/>
        <v>2319</v>
      </c>
      <c r="E114" s="465">
        <f t="shared" si="34"/>
        <v>2396</v>
      </c>
      <c r="F114" s="465">
        <f t="shared" si="34"/>
        <v>2642</v>
      </c>
      <c r="G114" s="465">
        <f t="shared" si="34"/>
        <v>2801</v>
      </c>
      <c r="H114" s="465">
        <f t="shared" si="34"/>
        <v>2678</v>
      </c>
      <c r="I114" s="465">
        <f t="shared" si="34"/>
        <v>2832</v>
      </c>
      <c r="J114" s="465">
        <f t="shared" si="34"/>
        <v>2778</v>
      </c>
      <c r="K114" s="465">
        <f t="shared" si="34"/>
        <v>2738</v>
      </c>
      <c r="L114" s="465">
        <f t="shared" si="34"/>
        <v>2722</v>
      </c>
      <c r="M114" s="465">
        <f t="shared" si="34"/>
        <v>2871</v>
      </c>
      <c r="N114" s="465">
        <f t="shared" si="34"/>
        <v>2604</v>
      </c>
      <c r="O114" s="458">
        <f>SUM(B114:N114)</f>
        <v>33384</v>
      </c>
      <c r="P114" s="467">
        <f>SUM(P115:P121)</f>
        <v>1</v>
      </c>
      <c r="Q114" s="87"/>
    </row>
    <row r="115" spans="1:17" ht="13.5" thickBot="1">
      <c r="A115" s="460" t="s">
        <v>2674</v>
      </c>
      <c r="B115" s="461" t="s">
        <v>1980</v>
      </c>
      <c r="C115" s="461" t="s">
        <v>1980</v>
      </c>
      <c r="D115" s="461" t="s">
        <v>1980</v>
      </c>
      <c r="E115" s="461" t="s">
        <v>1980</v>
      </c>
      <c r="F115" s="461" t="s">
        <v>1980</v>
      </c>
      <c r="G115" s="461" t="s">
        <v>1980</v>
      </c>
      <c r="H115" s="461" t="s">
        <v>1980</v>
      </c>
      <c r="I115" s="461" t="s">
        <v>1980</v>
      </c>
      <c r="J115" s="461" t="s">
        <v>1980</v>
      </c>
      <c r="K115" s="461" t="s">
        <v>1980</v>
      </c>
      <c r="L115" s="461" t="s">
        <v>1980</v>
      </c>
      <c r="M115" s="461" t="s">
        <v>1980</v>
      </c>
      <c r="N115" s="461" t="s">
        <v>1980</v>
      </c>
      <c r="O115" s="461" t="s">
        <v>1980</v>
      </c>
      <c r="P115" s="461" t="s">
        <v>1980</v>
      </c>
      <c r="Q115" s="87"/>
    </row>
    <row r="116" spans="1:17" ht="13.5" thickBot="1">
      <c r="A116" s="460" t="s">
        <v>2675</v>
      </c>
      <c r="B116" s="461" t="s">
        <v>1980</v>
      </c>
      <c r="C116" s="461" t="s">
        <v>1980</v>
      </c>
      <c r="D116" s="461" t="s">
        <v>1980</v>
      </c>
      <c r="E116" s="461" t="s">
        <v>1980</v>
      </c>
      <c r="F116" s="461" t="s">
        <v>1980</v>
      </c>
      <c r="G116" s="461" t="s">
        <v>1980</v>
      </c>
      <c r="H116" s="461" t="s">
        <v>1980</v>
      </c>
      <c r="I116" s="461" t="s">
        <v>1980</v>
      </c>
      <c r="J116" s="461" t="s">
        <v>1980</v>
      </c>
      <c r="K116" s="461" t="s">
        <v>1980</v>
      </c>
      <c r="L116" s="461" t="s">
        <v>1980</v>
      </c>
      <c r="M116" s="461" t="s">
        <v>1980</v>
      </c>
      <c r="N116" s="461" t="s">
        <v>1980</v>
      </c>
      <c r="O116" s="461" t="s">
        <v>1980</v>
      </c>
      <c r="P116" s="461" t="s">
        <v>1980</v>
      </c>
      <c r="Q116" s="87"/>
    </row>
    <row r="117" spans="1:17" ht="13.5" thickBot="1">
      <c r="A117" s="460" t="s">
        <v>2676</v>
      </c>
      <c r="B117" s="461" t="s">
        <v>1980</v>
      </c>
      <c r="C117" s="461" t="s">
        <v>1980</v>
      </c>
      <c r="D117" s="461" t="s">
        <v>1980</v>
      </c>
      <c r="E117" s="461">
        <v>6</v>
      </c>
      <c r="F117" s="461">
        <v>19</v>
      </c>
      <c r="G117" s="461">
        <v>25</v>
      </c>
      <c r="H117" s="461">
        <v>37</v>
      </c>
      <c r="I117" s="461">
        <v>35</v>
      </c>
      <c r="J117" s="461">
        <v>49</v>
      </c>
      <c r="K117" s="461">
        <v>66</v>
      </c>
      <c r="L117" s="461">
        <v>61</v>
      </c>
      <c r="M117" s="461">
        <v>65</v>
      </c>
      <c r="N117" s="461">
        <v>79</v>
      </c>
      <c r="O117" s="462">
        <f>SUM(B117:N117)</f>
        <v>442</v>
      </c>
      <c r="P117" s="463">
        <f>O117/O$114</f>
        <v>0.0132398753894081</v>
      </c>
      <c r="Q117" s="87"/>
    </row>
    <row r="118" spans="1:17" ht="13.5" thickBot="1">
      <c r="A118" s="460" t="s">
        <v>2677</v>
      </c>
      <c r="B118" s="461" t="s">
        <v>1980</v>
      </c>
      <c r="C118" s="461" t="s">
        <v>1980</v>
      </c>
      <c r="D118" s="461" t="s">
        <v>1980</v>
      </c>
      <c r="E118" s="461" t="s">
        <v>1980</v>
      </c>
      <c r="F118" s="461" t="s">
        <v>1980</v>
      </c>
      <c r="G118" s="461" t="s">
        <v>1980</v>
      </c>
      <c r="H118" s="461" t="s">
        <v>1980</v>
      </c>
      <c r="I118" s="461" t="s">
        <v>1980</v>
      </c>
      <c r="J118" s="461" t="s">
        <v>1980</v>
      </c>
      <c r="K118" s="461" t="s">
        <v>1980</v>
      </c>
      <c r="L118" s="461" t="s">
        <v>1980</v>
      </c>
      <c r="M118" s="461" t="s">
        <v>1980</v>
      </c>
      <c r="N118" s="461" t="s">
        <v>1980</v>
      </c>
      <c r="O118" s="461" t="s">
        <v>1980</v>
      </c>
      <c r="P118" s="461" t="s">
        <v>1980</v>
      </c>
      <c r="Q118" s="87"/>
    </row>
    <row r="119" spans="1:17" ht="13.5" thickBot="1">
      <c r="A119" s="460" t="s">
        <v>2678</v>
      </c>
      <c r="B119" s="461">
        <v>1910</v>
      </c>
      <c r="C119" s="461">
        <v>2016</v>
      </c>
      <c r="D119" s="461">
        <v>2281</v>
      </c>
      <c r="E119" s="461">
        <v>2354</v>
      </c>
      <c r="F119" s="461">
        <v>2588</v>
      </c>
      <c r="G119" s="461">
        <v>2737</v>
      </c>
      <c r="H119" s="461">
        <v>2607</v>
      </c>
      <c r="I119" s="461">
        <v>2763</v>
      </c>
      <c r="J119" s="461">
        <v>2687</v>
      </c>
      <c r="K119" s="461">
        <v>2626</v>
      </c>
      <c r="L119" s="461">
        <v>2615</v>
      </c>
      <c r="M119" s="461">
        <v>2697</v>
      </c>
      <c r="N119" s="461">
        <v>2399</v>
      </c>
      <c r="O119" s="462">
        <f>SUM(B119:N119)</f>
        <v>32280</v>
      </c>
      <c r="P119" s="463">
        <f>O119/O$114</f>
        <v>0.9669302659956865</v>
      </c>
      <c r="Q119" s="87"/>
    </row>
    <row r="120" spans="1:17" ht="13.5" thickBot="1">
      <c r="A120" s="470" t="s">
        <v>2065</v>
      </c>
      <c r="B120" s="461"/>
      <c r="C120" s="461"/>
      <c r="D120" s="461"/>
      <c r="E120" s="461"/>
      <c r="F120" s="461"/>
      <c r="G120" s="461">
        <v>5</v>
      </c>
      <c r="H120" s="461">
        <v>2</v>
      </c>
      <c r="I120" s="461">
        <v>4</v>
      </c>
      <c r="J120" s="461">
        <v>4</v>
      </c>
      <c r="K120" s="461">
        <v>14</v>
      </c>
      <c r="L120" s="461">
        <v>17</v>
      </c>
      <c r="M120" s="461">
        <v>86</v>
      </c>
      <c r="N120" s="461">
        <v>104</v>
      </c>
      <c r="O120" s="462">
        <f>SUM(B120:N120)</f>
        <v>236</v>
      </c>
      <c r="P120" s="463">
        <f>O120/O$114</f>
        <v>0.007069254732806135</v>
      </c>
      <c r="Q120" s="87"/>
    </row>
    <row r="121" spans="1:17" ht="13.5" thickBot="1">
      <c r="A121" s="468" t="s">
        <v>1128</v>
      </c>
      <c r="B121" s="461">
        <v>38</v>
      </c>
      <c r="C121" s="461">
        <v>39</v>
      </c>
      <c r="D121" s="461">
        <v>38</v>
      </c>
      <c r="E121" s="461">
        <v>36</v>
      </c>
      <c r="F121" s="461">
        <v>35</v>
      </c>
      <c r="G121" s="461">
        <v>34</v>
      </c>
      <c r="H121" s="461">
        <v>32</v>
      </c>
      <c r="I121" s="461">
        <v>30</v>
      </c>
      <c r="J121" s="461">
        <v>38</v>
      </c>
      <c r="K121" s="461">
        <v>32</v>
      </c>
      <c r="L121" s="461">
        <v>29</v>
      </c>
      <c r="M121" s="461">
        <v>23</v>
      </c>
      <c r="N121" s="461">
        <v>22</v>
      </c>
      <c r="O121" s="462">
        <f>SUM(B121:N121)</f>
        <v>426</v>
      </c>
      <c r="P121" s="463">
        <f>O121/O$114</f>
        <v>0.012760603882099208</v>
      </c>
      <c r="Q121" s="87"/>
    </row>
    <row r="122" spans="1:17" ht="27" customHeight="1" thickBot="1">
      <c r="A122" s="473" t="s">
        <v>2028</v>
      </c>
      <c r="B122" s="475">
        <f aca="true" t="shared" si="35" ref="B122:N122">SUM(B123:B131)</f>
        <v>3073</v>
      </c>
      <c r="C122" s="475">
        <f t="shared" si="35"/>
        <v>3210</v>
      </c>
      <c r="D122" s="475">
        <f t="shared" si="35"/>
        <v>3345</v>
      </c>
      <c r="E122" s="475">
        <f t="shared" si="35"/>
        <v>3107</v>
      </c>
      <c r="F122" s="475">
        <f t="shared" si="35"/>
        <v>3217</v>
      </c>
      <c r="G122" s="475">
        <f t="shared" si="35"/>
        <v>3391</v>
      </c>
      <c r="H122" s="475">
        <f t="shared" si="35"/>
        <v>3239</v>
      </c>
      <c r="I122" s="475">
        <f t="shared" si="35"/>
        <v>3269</v>
      </c>
      <c r="J122" s="475">
        <f t="shared" si="35"/>
        <v>3272</v>
      </c>
      <c r="K122" s="475">
        <f t="shared" si="35"/>
        <v>3433</v>
      </c>
      <c r="L122" s="475">
        <f t="shared" si="35"/>
        <v>3634</v>
      </c>
      <c r="M122" s="475">
        <f t="shared" si="35"/>
        <v>3596</v>
      </c>
      <c r="N122" s="475">
        <f t="shared" si="35"/>
        <v>3415</v>
      </c>
      <c r="O122" s="475">
        <f>SUM(B122:N122)</f>
        <v>43201</v>
      </c>
      <c r="P122" s="476">
        <f>SUM(P123:P131)</f>
        <v>1</v>
      </c>
      <c r="Q122" s="87"/>
    </row>
    <row r="123" spans="1:17" ht="13.5" thickBot="1">
      <c r="A123" s="460" t="s">
        <v>2674</v>
      </c>
      <c r="B123" s="461">
        <v>54</v>
      </c>
      <c r="C123" s="461">
        <v>100</v>
      </c>
      <c r="D123" s="461">
        <v>160</v>
      </c>
      <c r="E123" s="461">
        <v>161</v>
      </c>
      <c r="F123" s="461">
        <v>178</v>
      </c>
      <c r="G123" s="461">
        <v>196</v>
      </c>
      <c r="H123" s="461">
        <v>170</v>
      </c>
      <c r="I123" s="461">
        <v>188</v>
      </c>
      <c r="J123" s="461">
        <v>158</v>
      </c>
      <c r="K123" s="461">
        <v>195</v>
      </c>
      <c r="L123" s="461">
        <v>214</v>
      </c>
      <c r="M123" s="461">
        <v>211</v>
      </c>
      <c r="N123" s="461">
        <v>174</v>
      </c>
      <c r="O123" s="462">
        <f aca="true" t="shared" si="36" ref="O123:O131">SUM(B123:N123)</f>
        <v>2159</v>
      </c>
      <c r="P123" s="463">
        <f aca="true" t="shared" si="37" ref="P123:P131">O123/O$122</f>
        <v>0.04997569500706002</v>
      </c>
      <c r="Q123" s="87"/>
    </row>
    <row r="124" spans="1:17" ht="13.5" thickBot="1">
      <c r="A124" s="460" t="s">
        <v>2675</v>
      </c>
      <c r="B124" s="461">
        <v>149</v>
      </c>
      <c r="C124" s="461">
        <v>253</v>
      </c>
      <c r="D124" s="461">
        <v>241</v>
      </c>
      <c r="E124" s="461">
        <v>148</v>
      </c>
      <c r="F124" s="461">
        <v>104</v>
      </c>
      <c r="G124" s="461">
        <v>94</v>
      </c>
      <c r="H124" s="461">
        <v>65</v>
      </c>
      <c r="I124" s="461">
        <v>35</v>
      </c>
      <c r="J124" s="461">
        <v>26</v>
      </c>
      <c r="K124" s="461">
        <v>27</v>
      </c>
      <c r="L124" s="461">
        <v>51</v>
      </c>
      <c r="M124" s="461">
        <v>53</v>
      </c>
      <c r="N124" s="461">
        <v>44</v>
      </c>
      <c r="O124" s="462">
        <f t="shared" si="36"/>
        <v>1290</v>
      </c>
      <c r="P124" s="463">
        <f t="shared" si="37"/>
        <v>0.029860419897687552</v>
      </c>
      <c r="Q124" s="87"/>
    </row>
    <row r="125" spans="1:17" ht="13.5" thickBot="1">
      <c r="A125" s="460" t="s">
        <v>2676</v>
      </c>
      <c r="B125" s="461">
        <v>33</v>
      </c>
      <c r="C125" s="461">
        <v>35</v>
      </c>
      <c r="D125" s="461">
        <v>48</v>
      </c>
      <c r="E125" s="461">
        <v>58</v>
      </c>
      <c r="F125" s="461">
        <v>83</v>
      </c>
      <c r="G125" s="461">
        <v>120</v>
      </c>
      <c r="H125" s="461">
        <v>133</v>
      </c>
      <c r="I125" s="461">
        <v>155</v>
      </c>
      <c r="J125" s="461">
        <v>143</v>
      </c>
      <c r="K125" s="461">
        <v>154</v>
      </c>
      <c r="L125" s="461">
        <v>166</v>
      </c>
      <c r="M125" s="461">
        <v>157</v>
      </c>
      <c r="N125" s="461">
        <v>143</v>
      </c>
      <c r="O125" s="462">
        <f t="shared" si="36"/>
        <v>1428</v>
      </c>
      <c r="P125" s="463">
        <f t="shared" si="37"/>
        <v>0.03305479039837041</v>
      </c>
      <c r="Q125" s="87"/>
    </row>
    <row r="126" spans="1:17" ht="13.5" thickBot="1">
      <c r="A126" s="460" t="s">
        <v>2677</v>
      </c>
      <c r="B126" s="461" t="s">
        <v>1980</v>
      </c>
      <c r="C126" s="461" t="s">
        <v>1980</v>
      </c>
      <c r="D126" s="461" t="s">
        <v>1980</v>
      </c>
      <c r="E126" s="461" t="s">
        <v>1980</v>
      </c>
      <c r="F126" s="461" t="s">
        <v>1980</v>
      </c>
      <c r="G126" s="461" t="s">
        <v>1980</v>
      </c>
      <c r="H126" s="461" t="s">
        <v>1980</v>
      </c>
      <c r="I126" s="461" t="s">
        <v>1980</v>
      </c>
      <c r="J126" s="461" t="s">
        <v>1980</v>
      </c>
      <c r="K126" s="461" t="s">
        <v>1980</v>
      </c>
      <c r="L126" s="461" t="s">
        <v>1980</v>
      </c>
      <c r="M126" s="461" t="s">
        <v>1980</v>
      </c>
      <c r="N126" s="461" t="s">
        <v>1980</v>
      </c>
      <c r="O126" s="461" t="s">
        <v>1980</v>
      </c>
      <c r="P126" s="461" t="s">
        <v>1980</v>
      </c>
      <c r="Q126" s="87"/>
    </row>
    <row r="127" spans="1:17" ht="13.5" thickBot="1">
      <c r="A127" s="460" t="s">
        <v>2678</v>
      </c>
      <c r="B127" s="461">
        <v>427</v>
      </c>
      <c r="C127" s="461">
        <v>367</v>
      </c>
      <c r="D127" s="461">
        <v>332</v>
      </c>
      <c r="E127" s="461">
        <v>295</v>
      </c>
      <c r="F127" s="461">
        <v>304</v>
      </c>
      <c r="G127" s="461">
        <v>330</v>
      </c>
      <c r="H127" s="461">
        <v>280</v>
      </c>
      <c r="I127" s="461">
        <v>202</v>
      </c>
      <c r="J127" s="461">
        <v>219</v>
      </c>
      <c r="K127" s="461">
        <v>189</v>
      </c>
      <c r="L127" s="461">
        <v>199</v>
      </c>
      <c r="M127" s="461">
        <v>195</v>
      </c>
      <c r="N127" s="461">
        <v>171</v>
      </c>
      <c r="O127" s="462">
        <f t="shared" si="36"/>
        <v>3510</v>
      </c>
      <c r="P127" s="463">
        <f t="shared" si="37"/>
        <v>0.08124811925649869</v>
      </c>
      <c r="Q127" s="87"/>
    </row>
    <row r="128" spans="1:16" ht="13.5" thickBot="1">
      <c r="A128" s="460" t="s">
        <v>2065</v>
      </c>
      <c r="B128" s="461">
        <v>497</v>
      </c>
      <c r="C128" s="461">
        <v>595</v>
      </c>
      <c r="D128" s="461">
        <f>623</f>
        <v>623</v>
      </c>
      <c r="E128" s="461">
        <v>646</v>
      </c>
      <c r="F128" s="461">
        <f>618+33</f>
        <v>651</v>
      </c>
      <c r="G128" s="461">
        <f>656+33</f>
        <v>689</v>
      </c>
      <c r="H128" s="461">
        <f>624+33</f>
        <v>657</v>
      </c>
      <c r="I128" s="461">
        <f>661+33</f>
        <v>694</v>
      </c>
      <c r="J128" s="461">
        <f>671+33</f>
        <v>704</v>
      </c>
      <c r="K128" s="461">
        <f>724+43</f>
        <v>767</v>
      </c>
      <c r="L128" s="461">
        <f>761+47</f>
        <v>808</v>
      </c>
      <c r="M128" s="461">
        <f>810+48</f>
        <v>858</v>
      </c>
      <c r="N128" s="461">
        <f>788+52</f>
        <v>840</v>
      </c>
      <c r="O128" s="462">
        <f t="shared" si="36"/>
        <v>9029</v>
      </c>
      <c r="P128" s="463">
        <f t="shared" si="37"/>
        <v>0.20899979167148908</v>
      </c>
    </row>
    <row r="129" spans="1:16" ht="13.5" thickBot="1">
      <c r="A129" s="445" t="s">
        <v>2680</v>
      </c>
      <c r="B129" s="461" t="s">
        <v>1980</v>
      </c>
      <c r="C129" s="461" t="s">
        <v>1980</v>
      </c>
      <c r="D129" s="461" t="s">
        <v>1980</v>
      </c>
      <c r="E129" s="461" t="s">
        <v>1980</v>
      </c>
      <c r="F129" s="461" t="s">
        <v>1980</v>
      </c>
      <c r="G129" s="461" t="s">
        <v>1980</v>
      </c>
      <c r="H129" s="461" t="s">
        <v>1980</v>
      </c>
      <c r="I129" s="461" t="s">
        <v>1980</v>
      </c>
      <c r="J129" s="461" t="s">
        <v>1980</v>
      </c>
      <c r="K129" s="461" t="s">
        <v>1980</v>
      </c>
      <c r="L129" s="461" t="s">
        <v>1980</v>
      </c>
      <c r="M129" s="461" t="s">
        <v>1980</v>
      </c>
      <c r="N129" s="461" t="s">
        <v>1980</v>
      </c>
      <c r="O129" s="461" t="s">
        <v>1980</v>
      </c>
      <c r="P129" s="461" t="s">
        <v>1980</v>
      </c>
    </row>
    <row r="130" spans="1:16" ht="13.5" thickBot="1">
      <c r="A130" s="468" t="s">
        <v>2681</v>
      </c>
      <c r="B130" s="461">
        <v>618</v>
      </c>
      <c r="C130" s="461">
        <v>561</v>
      </c>
      <c r="D130" s="461">
        <v>610</v>
      </c>
      <c r="E130" s="461">
        <v>548</v>
      </c>
      <c r="F130" s="461">
        <v>571</v>
      </c>
      <c r="G130" s="461">
        <v>549</v>
      </c>
      <c r="H130" s="461">
        <v>502</v>
      </c>
      <c r="I130" s="461">
        <v>462</v>
      </c>
      <c r="J130" s="461">
        <v>476</v>
      </c>
      <c r="K130" s="461">
        <v>478</v>
      </c>
      <c r="L130" s="461">
        <v>517</v>
      </c>
      <c r="M130" s="461">
        <v>465</v>
      </c>
      <c r="N130" s="461">
        <v>431</v>
      </c>
      <c r="O130" s="462">
        <f t="shared" si="36"/>
        <v>6788</v>
      </c>
      <c r="P130" s="463">
        <f t="shared" si="37"/>
        <v>0.15712599245387837</v>
      </c>
    </row>
    <row r="131" spans="1:16" ht="13.5" thickBot="1">
      <c r="A131" s="468" t="s">
        <v>1128</v>
      </c>
      <c r="B131" s="461">
        <v>1295</v>
      </c>
      <c r="C131" s="461">
        <v>1299</v>
      </c>
      <c r="D131" s="461">
        <v>1331</v>
      </c>
      <c r="E131" s="461">
        <v>1251</v>
      </c>
      <c r="F131" s="461">
        <v>1326</v>
      </c>
      <c r="G131" s="461">
        <v>1413</v>
      </c>
      <c r="H131" s="461">
        <v>1432</v>
      </c>
      <c r="I131" s="461">
        <v>1533</v>
      </c>
      <c r="J131" s="461">
        <v>1546</v>
      </c>
      <c r="K131" s="461">
        <v>1623</v>
      </c>
      <c r="L131" s="461">
        <v>1679</v>
      </c>
      <c r="M131" s="461">
        <v>1657</v>
      </c>
      <c r="N131" s="461">
        <v>1612</v>
      </c>
      <c r="O131" s="462">
        <f t="shared" si="36"/>
        <v>18997</v>
      </c>
      <c r="P131" s="463">
        <f t="shared" si="37"/>
        <v>0.43973519131501587</v>
      </c>
    </row>
    <row r="135" spans="1:18" ht="14.25">
      <c r="A135" s="606" t="s">
        <v>112</v>
      </c>
      <c r="B135" s="606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3.5" thickBo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3.5" thickBot="1">
      <c r="A137" s="684" t="s">
        <v>1803</v>
      </c>
      <c r="B137" s="738" t="s">
        <v>113</v>
      </c>
      <c r="C137" s="686">
        <v>2001</v>
      </c>
      <c r="D137" s="686">
        <f>C137+1</f>
        <v>2002</v>
      </c>
      <c r="E137" s="686">
        <f aca="true" t="shared" si="38" ref="E137:O137">D137+1</f>
        <v>2003</v>
      </c>
      <c r="F137" s="686">
        <f t="shared" si="38"/>
        <v>2004</v>
      </c>
      <c r="G137" s="686">
        <f t="shared" si="38"/>
        <v>2005</v>
      </c>
      <c r="H137" s="686">
        <f t="shared" si="38"/>
        <v>2006</v>
      </c>
      <c r="I137" s="686">
        <f t="shared" si="38"/>
        <v>2007</v>
      </c>
      <c r="J137" s="686">
        <f t="shared" si="38"/>
        <v>2008</v>
      </c>
      <c r="K137" s="686">
        <f t="shared" si="38"/>
        <v>2009</v>
      </c>
      <c r="L137" s="686">
        <f t="shared" si="38"/>
        <v>2010</v>
      </c>
      <c r="M137" s="686">
        <f t="shared" si="38"/>
        <v>2011</v>
      </c>
      <c r="N137" s="686">
        <f t="shared" si="38"/>
        <v>2012</v>
      </c>
      <c r="O137" s="686">
        <f t="shared" si="38"/>
        <v>2013</v>
      </c>
      <c r="P137" s="686" t="s">
        <v>1337</v>
      </c>
      <c r="Q137" s="739" t="s">
        <v>114</v>
      </c>
      <c r="R137" s="740"/>
    </row>
    <row r="138" spans="1:18" ht="13.5" thickBot="1">
      <c r="A138" s="685"/>
      <c r="B138" s="687"/>
      <c r="C138" s="687"/>
      <c r="D138" s="687"/>
      <c r="E138" s="687"/>
      <c r="F138" s="687"/>
      <c r="G138" s="687"/>
      <c r="H138" s="687"/>
      <c r="I138" s="687"/>
      <c r="J138" s="687"/>
      <c r="K138" s="687"/>
      <c r="L138" s="687"/>
      <c r="M138" s="687"/>
      <c r="N138" s="687"/>
      <c r="O138" s="687"/>
      <c r="P138" s="687"/>
      <c r="Q138" s="607" t="s">
        <v>2672</v>
      </c>
      <c r="R138" s="607" t="s">
        <v>3031</v>
      </c>
    </row>
    <row r="139" spans="1:18" ht="13.5" thickBot="1">
      <c r="A139" s="608" t="s">
        <v>115</v>
      </c>
      <c r="B139" s="609" t="s">
        <v>116</v>
      </c>
      <c r="C139" s="610">
        <v>43749</v>
      </c>
      <c r="D139" s="610">
        <v>42437</v>
      </c>
      <c r="E139" s="610">
        <v>42254</v>
      </c>
      <c r="F139" s="610">
        <v>41512</v>
      </c>
      <c r="G139" s="610">
        <v>44187</v>
      </c>
      <c r="H139" s="610">
        <v>45441</v>
      </c>
      <c r="I139" s="610">
        <v>42875</v>
      </c>
      <c r="J139" s="610">
        <v>44423</v>
      </c>
      <c r="K139" s="610">
        <v>42789</v>
      </c>
      <c r="L139" s="610">
        <v>46011</v>
      </c>
      <c r="M139" s="610">
        <v>50330</v>
      </c>
      <c r="N139" s="610">
        <v>47406</v>
      </c>
      <c r="O139" s="610">
        <v>44040</v>
      </c>
      <c r="P139" s="610">
        <v>42300</v>
      </c>
      <c r="Q139" s="610">
        <f>SUM(C139:P139)</f>
        <v>619754</v>
      </c>
      <c r="R139" s="611">
        <v>1</v>
      </c>
    </row>
    <row r="140" spans="1:18" ht="13.5" thickBot="1">
      <c r="A140" s="608" t="s">
        <v>117</v>
      </c>
      <c r="B140" s="609" t="s">
        <v>116</v>
      </c>
      <c r="C140" s="85">
        <v>39619</v>
      </c>
      <c r="D140" s="85">
        <v>38329</v>
      </c>
      <c r="E140" s="85">
        <v>38086</v>
      </c>
      <c r="F140" s="85">
        <v>37400</v>
      </c>
      <c r="G140" s="85">
        <v>40108</v>
      </c>
      <c r="H140" s="85">
        <v>41175</v>
      </c>
      <c r="I140" s="85">
        <v>38991</v>
      </c>
      <c r="J140" s="85">
        <v>40028</v>
      </c>
      <c r="K140" s="85">
        <v>38486</v>
      </c>
      <c r="L140" s="85">
        <v>41659</v>
      </c>
      <c r="M140" s="85">
        <v>45401</v>
      </c>
      <c r="N140" s="85">
        <v>42904</v>
      </c>
      <c r="O140" s="85">
        <v>40055</v>
      </c>
      <c r="P140" s="85">
        <v>38479</v>
      </c>
      <c r="Q140" s="85">
        <f>SUM(C140:P140)</f>
        <v>560720</v>
      </c>
      <c r="R140" s="612">
        <f>Q140/Q$139</f>
        <v>0.90474607666913</v>
      </c>
    </row>
    <row r="141" spans="1:18" ht="13.5" thickBot="1">
      <c r="A141" s="613" t="s">
        <v>118</v>
      </c>
      <c r="B141" s="609" t="s">
        <v>116</v>
      </c>
      <c r="C141" s="85">
        <v>1093</v>
      </c>
      <c r="D141" s="85">
        <v>2039</v>
      </c>
      <c r="E141" s="85">
        <v>1283</v>
      </c>
      <c r="F141" s="85">
        <v>742</v>
      </c>
      <c r="G141" s="85">
        <v>800</v>
      </c>
      <c r="H141" s="85">
        <v>1137</v>
      </c>
      <c r="I141" s="85">
        <v>3057</v>
      </c>
      <c r="J141" s="85">
        <v>3097</v>
      </c>
      <c r="K141" s="85">
        <v>2662</v>
      </c>
      <c r="L141" s="85">
        <v>1166</v>
      </c>
      <c r="M141" s="85">
        <v>1450</v>
      </c>
      <c r="N141" s="85">
        <v>2353</v>
      </c>
      <c r="O141" s="85">
        <v>3351</v>
      </c>
      <c r="P141" s="85">
        <v>3894</v>
      </c>
      <c r="Q141" s="85">
        <f>SUM(C141:P141)</f>
        <v>28124</v>
      </c>
      <c r="R141" s="612">
        <f>Q141/Q$139</f>
        <v>0.04537929565601836</v>
      </c>
    </row>
    <row r="142" spans="1:18" ht="13.5" thickBot="1">
      <c r="A142" s="613" t="s">
        <v>119</v>
      </c>
      <c r="B142" s="609" t="s">
        <v>116</v>
      </c>
      <c r="C142" s="85">
        <v>8018</v>
      </c>
      <c r="D142" s="85">
        <v>8334</v>
      </c>
      <c r="E142" s="85">
        <v>6772</v>
      </c>
      <c r="F142" s="85">
        <v>6619</v>
      </c>
      <c r="G142" s="85">
        <v>8381</v>
      </c>
      <c r="H142" s="85">
        <v>8882</v>
      </c>
      <c r="I142" s="85">
        <v>7534</v>
      </c>
      <c r="J142" s="85">
        <v>8441</v>
      </c>
      <c r="K142" s="85">
        <v>7735</v>
      </c>
      <c r="L142" s="85">
        <v>9613</v>
      </c>
      <c r="M142" s="85">
        <v>12110</v>
      </c>
      <c r="N142" s="85">
        <v>10661</v>
      </c>
      <c r="O142" s="85">
        <v>9532</v>
      </c>
      <c r="P142" s="85">
        <v>12234</v>
      </c>
      <c r="Q142" s="85">
        <f>SUM(C142:P142)</f>
        <v>124866</v>
      </c>
      <c r="R142" s="612">
        <f>Q142/Q$139</f>
        <v>0.20147671495464328</v>
      </c>
    </row>
    <row r="143" spans="1:18" ht="13.5" thickBot="1">
      <c r="A143" s="613" t="s">
        <v>120</v>
      </c>
      <c r="B143" s="609" t="s">
        <v>116</v>
      </c>
      <c r="C143" s="85">
        <v>32694</v>
      </c>
      <c r="D143" s="85">
        <v>32034</v>
      </c>
      <c r="E143" s="85">
        <v>32597</v>
      </c>
      <c r="F143" s="85">
        <v>31523</v>
      </c>
      <c r="G143" s="85">
        <v>32527</v>
      </c>
      <c r="H143" s="85">
        <v>33430</v>
      </c>
      <c r="I143" s="85">
        <v>34409</v>
      </c>
      <c r="J143" s="85">
        <v>34684</v>
      </c>
      <c r="K143" s="85">
        <v>33413</v>
      </c>
      <c r="L143" s="85">
        <v>33212</v>
      </c>
      <c r="M143" s="85">
        <v>34741</v>
      </c>
      <c r="N143" s="85">
        <v>34596</v>
      </c>
      <c r="O143" s="85">
        <v>33874</v>
      </c>
      <c r="P143" s="85">
        <v>30139</v>
      </c>
      <c r="Q143" s="85">
        <f>SUM(C143:P143)</f>
        <v>463873</v>
      </c>
      <c r="R143" s="612">
        <f>Q143/Q$139</f>
        <v>0.7484792353094938</v>
      </c>
    </row>
    <row r="144" spans="1:18" ht="13.5" thickBot="1">
      <c r="A144" s="614"/>
      <c r="B144" s="614"/>
      <c r="C144" s="612"/>
      <c r="D144" s="612"/>
      <c r="E144" s="612"/>
      <c r="F144" s="612"/>
      <c r="G144" s="612"/>
      <c r="H144" s="612"/>
      <c r="I144" s="612"/>
      <c r="J144" s="612"/>
      <c r="K144" s="612"/>
      <c r="L144" s="612"/>
      <c r="M144" s="612"/>
      <c r="N144" s="612"/>
      <c r="O144" s="85"/>
      <c r="P144" s="612"/>
      <c r="Q144" s="85"/>
      <c r="R144" s="612"/>
    </row>
    <row r="145" spans="1:18" ht="15" thickBot="1">
      <c r="A145" s="615" t="s">
        <v>121</v>
      </c>
      <c r="B145" s="616"/>
      <c r="C145" s="617"/>
      <c r="D145" s="617"/>
      <c r="E145" s="618"/>
      <c r="F145" s="618"/>
      <c r="G145" s="618"/>
      <c r="H145" s="618"/>
      <c r="I145" s="618"/>
      <c r="J145" s="618"/>
      <c r="K145" s="618"/>
      <c r="L145" s="618"/>
      <c r="M145" s="618"/>
      <c r="N145" s="618"/>
      <c r="O145" s="618"/>
      <c r="P145" s="618"/>
      <c r="Q145" s="618"/>
      <c r="R145" s="619"/>
    </row>
    <row r="146" spans="1:18" ht="13.5" thickBot="1">
      <c r="A146" s="741" t="s">
        <v>122</v>
      </c>
      <c r="B146" s="620" t="s">
        <v>123</v>
      </c>
      <c r="C146" s="462">
        <v>1925</v>
      </c>
      <c r="D146" s="462">
        <v>1862</v>
      </c>
      <c r="E146" s="462">
        <v>1992</v>
      </c>
      <c r="F146" s="462">
        <v>1986</v>
      </c>
      <c r="G146" s="462">
        <v>2362</v>
      </c>
      <c r="H146" s="462">
        <v>2468</v>
      </c>
      <c r="I146" s="462">
        <v>2981</v>
      </c>
      <c r="J146" s="462">
        <v>3172</v>
      </c>
      <c r="K146" s="462">
        <v>2229</v>
      </c>
      <c r="L146" s="462">
        <v>2272</v>
      </c>
      <c r="M146" s="462">
        <v>2385</v>
      </c>
      <c r="N146" s="462">
        <v>1474</v>
      </c>
      <c r="O146" s="462">
        <v>1234</v>
      </c>
      <c r="P146" s="462">
        <v>1299</v>
      </c>
      <c r="Q146" s="85">
        <f aca="true" t="shared" si="39" ref="Q146:Q154">SUM(C146:P146)</f>
        <v>29641</v>
      </c>
      <c r="R146" s="462"/>
    </row>
    <row r="147" spans="1:18" ht="13.5" thickBot="1">
      <c r="A147" s="742"/>
      <c r="B147" s="620" t="s">
        <v>124</v>
      </c>
      <c r="C147" s="462">
        <v>48889</v>
      </c>
      <c r="D147" s="462">
        <v>48062</v>
      </c>
      <c r="E147" s="462">
        <v>50115</v>
      </c>
      <c r="F147" s="462">
        <v>49026</v>
      </c>
      <c r="G147" s="462">
        <v>57778</v>
      </c>
      <c r="H147" s="462">
        <v>61828</v>
      </c>
      <c r="I147" s="462">
        <v>72386</v>
      </c>
      <c r="J147" s="462">
        <v>75898</v>
      </c>
      <c r="K147" s="462">
        <v>54798</v>
      </c>
      <c r="L147" s="462">
        <v>53598</v>
      </c>
      <c r="M147" s="462">
        <v>56798</v>
      </c>
      <c r="N147" s="462">
        <v>35847</v>
      </c>
      <c r="O147" s="462">
        <v>28343</v>
      </c>
      <c r="P147" s="462">
        <v>31667</v>
      </c>
      <c r="Q147" s="85">
        <f t="shared" si="39"/>
        <v>725033</v>
      </c>
      <c r="R147" s="612">
        <f>Q147/Q$155</f>
        <v>0.18603545443442152</v>
      </c>
    </row>
    <row r="148" spans="1:18" ht="13.5" thickBot="1">
      <c r="A148" s="741" t="s">
        <v>125</v>
      </c>
      <c r="B148" s="620" t="s">
        <v>123</v>
      </c>
      <c r="C148" s="462">
        <v>25946</v>
      </c>
      <c r="D148" s="462">
        <v>22806</v>
      </c>
      <c r="E148" s="462">
        <v>25187</v>
      </c>
      <c r="F148" s="462">
        <v>24915</v>
      </c>
      <c r="G148" s="462">
        <v>23232</v>
      </c>
      <c r="H148" s="462">
        <v>24433</v>
      </c>
      <c r="I148" s="462">
        <v>27296</v>
      </c>
      <c r="J148" s="462">
        <v>26866</v>
      </c>
      <c r="K148" s="462">
        <v>25947</v>
      </c>
      <c r="L148" s="462">
        <v>27461</v>
      </c>
      <c r="M148" s="462">
        <v>34350</v>
      </c>
      <c r="N148" s="462">
        <v>31657</v>
      </c>
      <c r="O148" s="462">
        <v>27448</v>
      </c>
      <c r="P148" s="462">
        <v>26612</v>
      </c>
      <c r="Q148" s="85">
        <f t="shared" si="39"/>
        <v>374156</v>
      </c>
      <c r="R148" s="621"/>
    </row>
    <row r="149" spans="1:18" ht="13.5" thickBot="1">
      <c r="A149" s="742"/>
      <c r="B149" s="622" t="s">
        <v>124</v>
      </c>
      <c r="C149" s="462">
        <v>189957</v>
      </c>
      <c r="D149" s="462">
        <v>163940</v>
      </c>
      <c r="E149" s="462">
        <v>179194</v>
      </c>
      <c r="F149" s="462">
        <v>177590</v>
      </c>
      <c r="G149" s="462">
        <v>168336</v>
      </c>
      <c r="H149" s="462">
        <v>173931</v>
      </c>
      <c r="I149" s="462">
        <v>191117</v>
      </c>
      <c r="J149" s="462">
        <v>193793</v>
      </c>
      <c r="K149" s="462">
        <v>186824</v>
      </c>
      <c r="L149" s="462">
        <v>195569</v>
      </c>
      <c r="M149" s="462">
        <v>246211</v>
      </c>
      <c r="N149" s="462">
        <v>248395</v>
      </c>
      <c r="O149" s="462">
        <v>195406</v>
      </c>
      <c r="P149" s="462">
        <v>186872</v>
      </c>
      <c r="Q149" s="85">
        <f t="shared" si="39"/>
        <v>2697135</v>
      </c>
      <c r="R149" s="612">
        <f>Q149/Q$155</f>
        <v>0.6920550311447664</v>
      </c>
    </row>
    <row r="150" spans="1:18" ht="13.5" thickBot="1">
      <c r="A150" s="741" t="s">
        <v>126</v>
      </c>
      <c r="B150" s="620" t="s">
        <v>123</v>
      </c>
      <c r="C150" s="462">
        <v>41</v>
      </c>
      <c r="D150" s="462">
        <v>51</v>
      </c>
      <c r="E150" s="462">
        <v>49</v>
      </c>
      <c r="F150" s="462">
        <v>38</v>
      </c>
      <c r="G150" s="462">
        <v>47</v>
      </c>
      <c r="H150" s="462">
        <v>27</v>
      </c>
      <c r="I150" s="462">
        <v>27</v>
      </c>
      <c r="J150" s="462">
        <v>25</v>
      </c>
      <c r="K150" s="462">
        <v>77</v>
      </c>
      <c r="L150" s="462">
        <v>225</v>
      </c>
      <c r="M150" s="462">
        <v>130</v>
      </c>
      <c r="N150" s="462">
        <v>209</v>
      </c>
      <c r="O150" s="462">
        <v>223</v>
      </c>
      <c r="P150" s="462">
        <v>222</v>
      </c>
      <c r="Q150" s="85">
        <f t="shared" si="39"/>
        <v>1391</v>
      </c>
      <c r="R150" s="612"/>
    </row>
    <row r="151" spans="1:18" ht="13.5" thickBot="1">
      <c r="A151" s="742"/>
      <c r="B151" s="622" t="s">
        <v>124</v>
      </c>
      <c r="C151" s="462">
        <v>1615</v>
      </c>
      <c r="D151" s="462">
        <v>1974</v>
      </c>
      <c r="E151" s="462">
        <v>1881</v>
      </c>
      <c r="F151" s="462">
        <v>1542</v>
      </c>
      <c r="G151" s="462">
        <v>1886</v>
      </c>
      <c r="H151" s="462">
        <v>1078</v>
      </c>
      <c r="I151" s="462">
        <v>1116</v>
      </c>
      <c r="J151" s="462">
        <v>1028</v>
      </c>
      <c r="K151" s="462">
        <v>3007</v>
      </c>
      <c r="L151" s="462">
        <v>8872</v>
      </c>
      <c r="M151" s="462">
        <v>5156</v>
      </c>
      <c r="N151" s="462">
        <v>8301</v>
      </c>
      <c r="O151" s="462">
        <v>8833</v>
      </c>
      <c r="P151" s="462">
        <v>8910</v>
      </c>
      <c r="Q151" s="85">
        <f t="shared" si="39"/>
        <v>55199</v>
      </c>
      <c r="R151" s="612">
        <f>Q151/Q$155</f>
        <v>0.01416345331774641</v>
      </c>
    </row>
    <row r="152" spans="1:18" ht="13.5" thickBot="1">
      <c r="A152" s="623" t="s">
        <v>127</v>
      </c>
      <c r="B152" s="622" t="s">
        <v>124</v>
      </c>
      <c r="C152" s="462">
        <v>27583</v>
      </c>
      <c r="D152" s="462">
        <v>26224</v>
      </c>
      <c r="E152" s="462">
        <v>27361</v>
      </c>
      <c r="F152" s="462">
        <v>24519</v>
      </c>
      <c r="G152" s="462">
        <v>25251</v>
      </c>
      <c r="H152" s="462">
        <v>24981</v>
      </c>
      <c r="I152" s="462">
        <v>26429</v>
      </c>
      <c r="J152" s="462">
        <v>26183</v>
      </c>
      <c r="K152" s="462">
        <v>28791</v>
      </c>
      <c r="L152" s="462">
        <v>30981</v>
      </c>
      <c r="M152" s="462">
        <v>35496</v>
      </c>
      <c r="N152" s="462">
        <v>40542</v>
      </c>
      <c r="O152" s="462">
        <v>40909</v>
      </c>
      <c r="P152" s="462">
        <v>34541</v>
      </c>
      <c r="Q152" s="85">
        <f t="shared" si="39"/>
        <v>419791</v>
      </c>
      <c r="R152" s="612">
        <f>Q152/Q$155</f>
        <v>0.1077137308956699</v>
      </c>
    </row>
    <row r="153" spans="1:18" ht="13.5" thickBot="1">
      <c r="A153" s="623" t="s">
        <v>128</v>
      </c>
      <c r="B153" s="622" t="s">
        <v>124</v>
      </c>
      <c r="C153" s="462">
        <v>0</v>
      </c>
      <c r="D153" s="462">
        <v>0</v>
      </c>
      <c r="E153" s="462">
        <v>0</v>
      </c>
      <c r="F153" s="462">
        <v>0</v>
      </c>
      <c r="G153" s="462">
        <v>0</v>
      </c>
      <c r="H153" s="462">
        <v>0</v>
      </c>
      <c r="I153" s="462">
        <v>0</v>
      </c>
      <c r="J153" s="462">
        <v>0</v>
      </c>
      <c r="K153" s="462">
        <v>0</v>
      </c>
      <c r="L153" s="462">
        <v>0</v>
      </c>
      <c r="M153" s="462">
        <v>0</v>
      </c>
      <c r="N153" s="462">
        <v>0</v>
      </c>
      <c r="O153" s="462">
        <v>0</v>
      </c>
      <c r="P153" s="462">
        <v>0</v>
      </c>
      <c r="Q153" s="85">
        <f t="shared" si="39"/>
        <v>0</v>
      </c>
      <c r="R153" s="612">
        <f>Q153/Q$155</f>
        <v>0</v>
      </c>
    </row>
    <row r="154" spans="1:18" ht="13.5" thickBot="1">
      <c r="A154" s="623" t="s">
        <v>129</v>
      </c>
      <c r="B154" s="622" t="s">
        <v>124</v>
      </c>
      <c r="C154" s="462">
        <v>0</v>
      </c>
      <c r="D154" s="462">
        <v>0</v>
      </c>
      <c r="E154" s="462">
        <v>0</v>
      </c>
      <c r="F154" s="462">
        <v>0</v>
      </c>
      <c r="G154" s="462">
        <v>0</v>
      </c>
      <c r="H154" s="462">
        <v>0</v>
      </c>
      <c r="I154" s="462">
        <v>0</v>
      </c>
      <c r="J154" s="462">
        <v>0</v>
      </c>
      <c r="K154" s="462">
        <v>0</v>
      </c>
      <c r="L154" s="462">
        <v>0</v>
      </c>
      <c r="M154" s="462">
        <v>0</v>
      </c>
      <c r="N154" s="462">
        <v>0</v>
      </c>
      <c r="O154" s="462">
        <v>0</v>
      </c>
      <c r="P154" s="462">
        <v>126</v>
      </c>
      <c r="Q154" s="85">
        <f t="shared" si="39"/>
        <v>126</v>
      </c>
      <c r="R154" s="612">
        <f>Q154/Q$155</f>
        <v>3.233020739571455E-05</v>
      </c>
    </row>
    <row r="155" spans="1:18" ht="13.5" thickBot="1">
      <c r="A155" s="624" t="s">
        <v>130</v>
      </c>
      <c r="B155" s="625" t="s">
        <v>124</v>
      </c>
      <c r="C155" s="466">
        <f>C147+C149+SUM(C151:C154)</f>
        <v>268044</v>
      </c>
      <c r="D155" s="466">
        <f>D147+D149+SUM(D151:D154)</f>
        <v>240200</v>
      </c>
      <c r="E155" s="466">
        <f aca="true" t="shared" si="40" ref="E155:R155">E147+E149+SUM(E151:E154)</f>
        <v>258551</v>
      </c>
      <c r="F155" s="466">
        <f t="shared" si="40"/>
        <v>252677</v>
      </c>
      <c r="G155" s="466">
        <f t="shared" si="40"/>
        <v>253251</v>
      </c>
      <c r="H155" s="466">
        <f t="shared" si="40"/>
        <v>261818</v>
      </c>
      <c r="I155" s="466">
        <f t="shared" si="40"/>
        <v>291048</v>
      </c>
      <c r="J155" s="466">
        <f t="shared" si="40"/>
        <v>296902</v>
      </c>
      <c r="K155" s="466">
        <f t="shared" si="40"/>
        <v>273420</v>
      </c>
      <c r="L155" s="466">
        <f t="shared" si="40"/>
        <v>289020</v>
      </c>
      <c r="M155" s="466">
        <v>343661</v>
      </c>
      <c r="N155" s="466">
        <v>333085</v>
      </c>
      <c r="O155" s="466">
        <v>273491</v>
      </c>
      <c r="P155" s="466">
        <v>262116</v>
      </c>
      <c r="Q155" s="466">
        <f t="shared" si="40"/>
        <v>3897284</v>
      </c>
      <c r="R155" s="626">
        <f t="shared" si="40"/>
        <v>0.9999999999999999</v>
      </c>
    </row>
    <row r="157" ht="12.75">
      <c r="A157" s="158" t="s">
        <v>3080</v>
      </c>
    </row>
    <row r="158" ht="12.75">
      <c r="A158" s="162" t="s">
        <v>131</v>
      </c>
    </row>
  </sheetData>
  <sheetProtection/>
  <mergeCells count="35">
    <mergeCell ref="Q137:R137"/>
    <mergeCell ref="A146:A147"/>
    <mergeCell ref="A148:A149"/>
    <mergeCell ref="A150:A151"/>
    <mergeCell ref="M137:M138"/>
    <mergeCell ref="N137:N138"/>
    <mergeCell ref="O137:O138"/>
    <mergeCell ref="P137:P138"/>
    <mergeCell ref="I137:I138"/>
    <mergeCell ref="J137:J138"/>
    <mergeCell ref="K137:K138"/>
    <mergeCell ref="L137:L138"/>
    <mergeCell ref="E137:E138"/>
    <mergeCell ref="F137:F138"/>
    <mergeCell ref="G137:G138"/>
    <mergeCell ref="H137:H138"/>
    <mergeCell ref="A137:A138"/>
    <mergeCell ref="B137:B138"/>
    <mergeCell ref="C137:C138"/>
    <mergeCell ref="D137:D138"/>
    <mergeCell ref="F4:F5"/>
    <mergeCell ref="G4:G5"/>
    <mergeCell ref="H4:H5"/>
    <mergeCell ref="E4:E5"/>
    <mergeCell ref="A4:A5"/>
    <mergeCell ref="B4:B5"/>
    <mergeCell ref="C4:C5"/>
    <mergeCell ref="D4:D5"/>
    <mergeCell ref="O4:P4"/>
    <mergeCell ref="I4:I5"/>
    <mergeCell ref="J4:J5"/>
    <mergeCell ref="K4:K5"/>
    <mergeCell ref="L4:L5"/>
    <mergeCell ref="M4:M5"/>
    <mergeCell ref="N4:N5"/>
  </mergeCells>
  <printOptions horizontalCentered="1"/>
  <pageMargins left="0.15748031496062992" right="0.15748031496062992" top="0.984251968503937" bottom="0.5905511811023623" header="0.5118110236220472" footer="0.5118110236220472"/>
  <pageSetup horizontalDpi="600" verticalDpi="600" orientation="landscape" paperSize="9" r:id="rId1"/>
  <rowBreaks count="1" manualBreakCount="1">
    <brk id="8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X7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23.57421875" defaultRowHeight="20.25" customHeight="1"/>
  <cols>
    <col min="1" max="1" width="30.7109375" style="180" customWidth="1"/>
    <col min="2" max="2" width="10.7109375" style="180" customWidth="1"/>
    <col min="3" max="3" width="6.7109375" style="180" customWidth="1"/>
    <col min="4" max="4" width="10.7109375" style="180" customWidth="1"/>
    <col min="5" max="5" width="6.7109375" style="180" customWidth="1"/>
    <col min="6" max="6" width="10.7109375" style="180" customWidth="1"/>
    <col min="7" max="7" width="6.7109375" style="180" customWidth="1"/>
    <col min="8" max="8" width="10.7109375" style="180" customWidth="1"/>
    <col min="9" max="9" width="6.7109375" style="180" customWidth="1"/>
    <col min="10" max="10" width="10.7109375" style="180" customWidth="1"/>
    <col min="11" max="11" width="6.7109375" style="180" customWidth="1"/>
    <col min="12" max="12" width="10.7109375" style="180" customWidth="1"/>
    <col min="13" max="13" width="6.7109375" style="180" customWidth="1"/>
    <col min="14" max="14" width="10.7109375" style="180" customWidth="1"/>
    <col min="15" max="15" width="6.7109375" style="180" customWidth="1"/>
    <col min="16" max="16" width="10.7109375" style="180" customWidth="1"/>
    <col min="17" max="17" width="6.7109375" style="180" customWidth="1"/>
    <col min="18" max="18" width="10.7109375" style="180" customWidth="1"/>
    <col min="19" max="19" width="6.7109375" style="180" customWidth="1"/>
    <col min="20" max="20" width="10.7109375" style="180" customWidth="1"/>
    <col min="21" max="21" width="6.7109375" style="180" customWidth="1"/>
    <col min="22" max="22" width="12.7109375" style="180" customWidth="1"/>
    <col min="23" max="23" width="6.7109375" style="180" customWidth="1"/>
    <col min="24" max="135" width="8.7109375" style="180" customWidth="1"/>
    <col min="136" max="16384" width="23.57421875" style="180" customWidth="1"/>
  </cols>
  <sheetData>
    <row r="1" spans="1:23" ht="30" customHeight="1" thickBot="1">
      <c r="A1" s="140" t="s">
        <v>2030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W1" s="122" t="s">
        <v>2045</v>
      </c>
    </row>
    <row r="2" spans="1:23" ht="15" customHeight="1" thickBot="1">
      <c r="A2" s="745" t="s">
        <v>2031</v>
      </c>
      <c r="B2" s="747">
        <v>2004</v>
      </c>
      <c r="C2" s="748"/>
      <c r="D2" s="743">
        <f>B2+1</f>
        <v>2005</v>
      </c>
      <c r="E2" s="744"/>
      <c r="F2" s="743">
        <f>D2+1</f>
        <v>2006</v>
      </c>
      <c r="G2" s="744"/>
      <c r="H2" s="743">
        <f>F2+1</f>
        <v>2007</v>
      </c>
      <c r="I2" s="744"/>
      <c r="J2" s="743">
        <f>H2+1</f>
        <v>2008</v>
      </c>
      <c r="K2" s="744"/>
      <c r="L2" s="743">
        <f>J2+1</f>
        <v>2009</v>
      </c>
      <c r="M2" s="744"/>
      <c r="N2" s="743">
        <f>L2+1</f>
        <v>2010</v>
      </c>
      <c r="O2" s="744"/>
      <c r="P2" s="743">
        <f>N2+1</f>
        <v>2011</v>
      </c>
      <c r="Q2" s="744"/>
      <c r="R2" s="743">
        <f>P2+1</f>
        <v>2012</v>
      </c>
      <c r="S2" s="744"/>
      <c r="T2" s="743">
        <f>R2+1</f>
        <v>2013</v>
      </c>
      <c r="U2" s="744"/>
      <c r="V2" s="749" t="s">
        <v>1637</v>
      </c>
      <c r="W2" s="744"/>
    </row>
    <row r="3" spans="1:23" ht="15" customHeight="1" thickBot="1">
      <c r="A3" s="746"/>
      <c r="B3" s="181" t="s">
        <v>2032</v>
      </c>
      <c r="C3" s="182" t="s">
        <v>3031</v>
      </c>
      <c r="D3" s="181" t="s">
        <v>2032</v>
      </c>
      <c r="E3" s="182" t="s">
        <v>3031</v>
      </c>
      <c r="F3" s="181" t="s">
        <v>2032</v>
      </c>
      <c r="G3" s="182" t="s">
        <v>3031</v>
      </c>
      <c r="H3" s="181" t="s">
        <v>2032</v>
      </c>
      <c r="I3" s="182" t="s">
        <v>3031</v>
      </c>
      <c r="J3" s="181" t="s">
        <v>2032</v>
      </c>
      <c r="K3" s="182" t="s">
        <v>3031</v>
      </c>
      <c r="L3" s="181" t="s">
        <v>2032</v>
      </c>
      <c r="M3" s="182" t="s">
        <v>3031</v>
      </c>
      <c r="N3" s="181" t="s">
        <v>2032</v>
      </c>
      <c r="O3" s="182" t="s">
        <v>3031</v>
      </c>
      <c r="P3" s="181" t="s">
        <v>2032</v>
      </c>
      <c r="Q3" s="182" t="s">
        <v>3031</v>
      </c>
      <c r="R3" s="181" t="s">
        <v>2032</v>
      </c>
      <c r="S3" s="182" t="s">
        <v>3031</v>
      </c>
      <c r="T3" s="181" t="s">
        <v>2032</v>
      </c>
      <c r="U3" s="182" t="s">
        <v>3031</v>
      </c>
      <c r="V3" s="181" t="s">
        <v>2032</v>
      </c>
      <c r="W3" s="182" t="s">
        <v>3031</v>
      </c>
    </row>
    <row r="4" spans="1:23" ht="15" customHeight="1" thickBot="1">
      <c r="A4" s="183" t="s">
        <v>1889</v>
      </c>
      <c r="B4" s="184">
        <v>188549181.97940007</v>
      </c>
      <c r="C4" s="185">
        <v>1</v>
      </c>
      <c r="D4" s="184">
        <v>228681820.40979996</v>
      </c>
      <c r="E4" s="185">
        <v>1</v>
      </c>
      <c r="F4" s="184">
        <v>146397154.09495237</v>
      </c>
      <c r="G4" s="185">
        <v>1</v>
      </c>
      <c r="H4" s="184">
        <v>165788780.089</v>
      </c>
      <c r="I4" s="185">
        <v>1</v>
      </c>
      <c r="J4" s="184">
        <v>150988366.80908173</v>
      </c>
      <c r="K4" s="185">
        <v>1</v>
      </c>
      <c r="L4" s="184">
        <v>116033755.21565512</v>
      </c>
      <c r="M4" s="185">
        <v>1</v>
      </c>
      <c r="N4" s="184">
        <v>149686959.5566473</v>
      </c>
      <c r="O4" s="185">
        <v>1</v>
      </c>
      <c r="P4" s="184">
        <v>188442941.60299036</v>
      </c>
      <c r="Q4" s="185">
        <v>1</v>
      </c>
      <c r="R4" s="184">
        <v>146316438.37818405</v>
      </c>
      <c r="S4" s="185">
        <v>1</v>
      </c>
      <c r="T4" s="184">
        <v>136917354.32310024</v>
      </c>
      <c r="U4" s="185">
        <v>1</v>
      </c>
      <c r="V4" s="161">
        <f>SUM(B4,D4,F4,H4,J4,L4,N4,P4,R4,T4)</f>
        <v>1617802752.4588113</v>
      </c>
      <c r="W4" s="185">
        <v>1</v>
      </c>
    </row>
    <row r="5" spans="1:23" ht="15" customHeight="1" thickBot="1">
      <c r="A5" s="186" t="s">
        <v>2969</v>
      </c>
      <c r="B5" s="187">
        <v>159832153.74987</v>
      </c>
      <c r="C5" s="188">
        <f aca="true" t="shared" si="0" ref="C5:C13">B5/B$4</f>
        <v>0.847694760973996</v>
      </c>
      <c r="D5" s="187">
        <v>209674571.7411</v>
      </c>
      <c r="E5" s="188">
        <f>D5/D$4</f>
        <v>0.9168834294101789</v>
      </c>
      <c r="F5" s="187">
        <v>132953405.6566</v>
      </c>
      <c r="G5" s="188">
        <f>F5/F$4</f>
        <v>0.908169332105781</v>
      </c>
      <c r="H5" s="187">
        <v>149306683.855</v>
      </c>
      <c r="I5" s="188">
        <f aca="true" t="shared" si="1" ref="I5:I13">H5/H$4</f>
        <v>0.9005837655289342</v>
      </c>
      <c r="J5" s="187">
        <v>136832194.0425323</v>
      </c>
      <c r="K5" s="188">
        <f aca="true" t="shared" si="2" ref="K5:K13">J5/J$4</f>
        <v>0.906243288369035</v>
      </c>
      <c r="L5" s="187">
        <v>101919131.6424155</v>
      </c>
      <c r="M5" s="188">
        <f aca="true" t="shared" si="3" ref="M5:M13">L5/L$4</f>
        <v>0.8783576076891865</v>
      </c>
      <c r="N5" s="187">
        <v>138386175.33300015</v>
      </c>
      <c r="O5" s="188">
        <f aca="true" t="shared" si="4" ref="O5:O13">N5/N$4</f>
        <v>0.9245038829226102</v>
      </c>
      <c r="P5" s="187">
        <v>174697154.336334</v>
      </c>
      <c r="Q5" s="188">
        <f aca="true" t="shared" si="5" ref="Q5:Q13">P5/P$4</f>
        <v>0.9270559716923977</v>
      </c>
      <c r="R5" s="187">
        <v>127814670.55160002</v>
      </c>
      <c r="S5" s="188">
        <f aca="true" t="shared" si="6" ref="S5:S13">R5/R$4</f>
        <v>0.8735496296133007</v>
      </c>
      <c r="T5" s="187">
        <v>121244545.70799999</v>
      </c>
      <c r="U5" s="188">
        <f aca="true" t="shared" si="7" ref="U5:U13">T5/T$4</f>
        <v>0.8855308832646938</v>
      </c>
      <c r="V5" s="164">
        <f aca="true" t="shared" si="8" ref="V5:V12">SUM(B5,D5,F5,H5,J5,L5,N5,P5,R5,T5)</f>
        <v>1452660686.616452</v>
      </c>
      <c r="W5" s="188">
        <f aca="true" t="shared" si="9" ref="W5:W13">V5/V$4</f>
        <v>0.8979220021777261</v>
      </c>
    </row>
    <row r="6" spans="1:23" ht="25.5" customHeight="1" thickBot="1">
      <c r="A6" s="189" t="s">
        <v>2033</v>
      </c>
      <c r="B6" s="187">
        <v>38808.76032</v>
      </c>
      <c r="C6" s="188">
        <f t="shared" si="0"/>
        <v>0.00020582831446195322</v>
      </c>
      <c r="D6" s="187">
        <v>76200.4414</v>
      </c>
      <c r="E6" s="188">
        <f aca="true" t="shared" si="10" ref="E6:E12">D6/D$4</f>
        <v>0.0003332159996953325</v>
      </c>
      <c r="F6" s="187">
        <v>11666.181</v>
      </c>
      <c r="G6" s="188">
        <f aca="true" t="shared" si="11" ref="G6:G12">F6/F$4</f>
        <v>7.968857777408282E-05</v>
      </c>
      <c r="H6" s="187">
        <v>46227.187</v>
      </c>
      <c r="I6" s="188">
        <f t="shared" si="1"/>
        <v>0.0002788318182640826</v>
      </c>
      <c r="J6" s="187">
        <v>45196.043000000005</v>
      </c>
      <c r="K6" s="188">
        <f t="shared" si="2"/>
        <v>0.0002993346040834288</v>
      </c>
      <c r="L6" s="187">
        <v>92504.772</v>
      </c>
      <c r="M6" s="188">
        <f t="shared" si="3"/>
        <v>0.0007972229445481169</v>
      </c>
      <c r="N6" s="187">
        <v>18896.337</v>
      </c>
      <c r="O6" s="188">
        <f t="shared" si="4"/>
        <v>0.00012623903281867984</v>
      </c>
      <c r="P6" s="187">
        <v>13672.55</v>
      </c>
      <c r="Q6" s="188">
        <f t="shared" si="5"/>
        <v>7.255538405256476E-05</v>
      </c>
      <c r="R6" s="187">
        <v>13605.522500000001</v>
      </c>
      <c r="S6" s="188">
        <f t="shared" si="6"/>
        <v>9.298697159941668E-05</v>
      </c>
      <c r="T6" s="187">
        <v>24720.44</v>
      </c>
      <c r="U6" s="188">
        <f t="shared" si="7"/>
        <v>0.000180550085284764</v>
      </c>
      <c r="V6" s="164">
        <f t="shared" si="8"/>
        <v>381498.23422</v>
      </c>
      <c r="W6" s="188">
        <f t="shared" si="9"/>
        <v>0.00023581257581629242</v>
      </c>
    </row>
    <row r="7" spans="1:23" ht="25.5" customHeight="1" thickBot="1">
      <c r="A7" s="189" t="s">
        <v>2034</v>
      </c>
      <c r="B7" s="187">
        <v>1681745.115288</v>
      </c>
      <c r="C7" s="188">
        <f t="shared" si="0"/>
        <v>0.008919397568490852</v>
      </c>
      <c r="D7" s="187">
        <v>980926.2553</v>
      </c>
      <c r="E7" s="188">
        <f t="shared" si="10"/>
        <v>0.004289480700923978</v>
      </c>
      <c r="F7" s="187">
        <v>823193.30691</v>
      </c>
      <c r="G7" s="188">
        <f t="shared" si="11"/>
        <v>0.005623014408982851</v>
      </c>
      <c r="H7" s="187">
        <v>730906.2479999999</v>
      </c>
      <c r="I7" s="188">
        <f t="shared" si="1"/>
        <v>0.004408659304976062</v>
      </c>
      <c r="J7" s="187">
        <v>586765.0348499373</v>
      </c>
      <c r="K7" s="188">
        <f t="shared" si="2"/>
        <v>0.00388616055163956</v>
      </c>
      <c r="L7" s="187">
        <v>248062.6634934427</v>
      </c>
      <c r="M7" s="188">
        <f t="shared" si="3"/>
        <v>0.0021378491373687304</v>
      </c>
      <c r="N7" s="187">
        <v>285000.5847100002</v>
      </c>
      <c r="O7" s="188">
        <f t="shared" si="4"/>
        <v>0.0019039773775493451</v>
      </c>
      <c r="P7" s="187">
        <v>1071617.8377368597</v>
      </c>
      <c r="Q7" s="188">
        <f t="shared" si="5"/>
        <v>0.0056866966128905645</v>
      </c>
      <c r="R7" s="187">
        <v>1052345.6940297794</v>
      </c>
      <c r="S7" s="188">
        <f t="shared" si="6"/>
        <v>0.007192258817220399</v>
      </c>
      <c r="T7" s="187">
        <v>1041390.5075366826</v>
      </c>
      <c r="U7" s="188">
        <f t="shared" si="7"/>
        <v>0.0076059788964311205</v>
      </c>
      <c r="V7" s="164">
        <f t="shared" si="8"/>
        <v>8501953.2478547</v>
      </c>
      <c r="W7" s="188">
        <f t="shared" si="9"/>
        <v>0.005255247115220344</v>
      </c>
    </row>
    <row r="8" spans="1:23" ht="36.75" customHeight="1" thickBot="1">
      <c r="A8" s="189" t="s">
        <v>2035</v>
      </c>
      <c r="B8" s="187">
        <v>7819623.741732</v>
      </c>
      <c r="C8" s="188">
        <f t="shared" si="0"/>
        <v>0.041472594363131915</v>
      </c>
      <c r="D8" s="187">
        <v>9663133.9653</v>
      </c>
      <c r="E8" s="188">
        <f t="shared" si="10"/>
        <v>0.04225580305414559</v>
      </c>
      <c r="F8" s="187">
        <v>6895695.27297</v>
      </c>
      <c r="G8" s="188">
        <f t="shared" si="11"/>
        <v>0.047102659307827054</v>
      </c>
      <c r="H8" s="187">
        <v>6514330.903</v>
      </c>
      <c r="I8" s="188">
        <f t="shared" si="1"/>
        <v>0.03929295395926629</v>
      </c>
      <c r="J8" s="187">
        <v>7652572.985167749</v>
      </c>
      <c r="K8" s="188">
        <f t="shared" si="2"/>
        <v>0.050683195976575446</v>
      </c>
      <c r="L8" s="187">
        <v>6848737.2146882415</v>
      </c>
      <c r="M8" s="188">
        <f t="shared" si="3"/>
        <v>0.059023662570943145</v>
      </c>
      <c r="N8" s="187">
        <v>8031386.9763999935</v>
      </c>
      <c r="O8" s="188">
        <f t="shared" si="4"/>
        <v>0.05365455347738964</v>
      </c>
      <c r="P8" s="187">
        <v>8369392.7801051745</v>
      </c>
      <c r="Q8" s="188">
        <f t="shared" si="5"/>
        <v>0.044413405505724514</v>
      </c>
      <c r="R8" s="187">
        <v>9531079.318778569</v>
      </c>
      <c r="S8" s="188">
        <f t="shared" si="6"/>
        <v>0.06514018127029303</v>
      </c>
      <c r="T8" s="187">
        <v>8025579.625294502</v>
      </c>
      <c r="U8" s="188">
        <f t="shared" si="7"/>
        <v>0.058616233602904584</v>
      </c>
      <c r="V8" s="164">
        <f t="shared" si="8"/>
        <v>79351532.78343624</v>
      </c>
      <c r="W8" s="188">
        <f t="shared" si="9"/>
        <v>0.0490489539981522</v>
      </c>
    </row>
    <row r="9" spans="1:23" ht="15" customHeight="1" thickBot="1">
      <c r="A9" s="189" t="s">
        <v>929</v>
      </c>
      <c r="B9" s="187">
        <v>5425623.602656</v>
      </c>
      <c r="C9" s="188">
        <f t="shared" si="0"/>
        <v>0.028775641165331475</v>
      </c>
      <c r="D9" s="187">
        <v>3502736.653</v>
      </c>
      <c r="E9" s="188">
        <f t="shared" si="10"/>
        <v>0.015317075256454855</v>
      </c>
      <c r="F9" s="187">
        <v>1602661.64841</v>
      </c>
      <c r="G9" s="188">
        <f t="shared" si="11"/>
        <v>0.010947355215460832</v>
      </c>
      <c r="H9" s="187">
        <v>5413787.831</v>
      </c>
      <c r="I9" s="188">
        <f t="shared" si="1"/>
        <v>0.032654729880355775</v>
      </c>
      <c r="J9" s="187">
        <v>1827808.0144481075</v>
      </c>
      <c r="K9" s="188">
        <f t="shared" si="2"/>
        <v>0.01210562146658154</v>
      </c>
      <c r="L9" s="187">
        <v>1020609.7300329152</v>
      </c>
      <c r="M9" s="188">
        <f t="shared" si="3"/>
        <v>0.008795800223271718</v>
      </c>
      <c r="N9" s="187">
        <v>76802.64299999997</v>
      </c>
      <c r="O9" s="188">
        <f t="shared" si="4"/>
        <v>0.0005130884028072926</v>
      </c>
      <c r="P9" s="187">
        <v>282715.8742999035</v>
      </c>
      <c r="Q9" s="188">
        <f t="shared" si="5"/>
        <v>0.0015002730900663098</v>
      </c>
      <c r="R9" s="187">
        <v>1824564.0001864096</v>
      </c>
      <c r="S9" s="188">
        <f t="shared" si="6"/>
        <v>0.012469986424016552</v>
      </c>
      <c r="T9" s="187">
        <v>1543048.401272727</v>
      </c>
      <c r="U9" s="188">
        <f t="shared" si="7"/>
        <v>0.011269925634345894</v>
      </c>
      <c r="V9" s="164">
        <f t="shared" si="8"/>
        <v>22520358.39830606</v>
      </c>
      <c r="W9" s="188">
        <f t="shared" si="9"/>
        <v>0.013920336310516581</v>
      </c>
    </row>
    <row r="10" spans="1:23" s="451" customFormat="1" ht="15" customHeight="1" thickBot="1">
      <c r="A10" s="453" t="s">
        <v>2036</v>
      </c>
      <c r="B10" s="187">
        <v>5035546.700514</v>
      </c>
      <c r="C10" s="188">
        <f t="shared" si="0"/>
        <v>0.026706807463445576</v>
      </c>
      <c r="D10" s="187">
        <v>2847804.174</v>
      </c>
      <c r="E10" s="188">
        <f t="shared" si="10"/>
        <v>0.012453128844683449</v>
      </c>
      <c r="F10" s="187">
        <v>1417744.34205</v>
      </c>
      <c r="G10" s="188">
        <f t="shared" si="11"/>
        <v>0.009684234306429612</v>
      </c>
      <c r="H10" s="187">
        <v>4407673.16</v>
      </c>
      <c r="I10" s="188">
        <f t="shared" si="1"/>
        <v>0.026586076317310737</v>
      </c>
      <c r="J10" s="187">
        <v>1028809.2526045244</v>
      </c>
      <c r="K10" s="188">
        <f t="shared" si="2"/>
        <v>0.0068138312530091096</v>
      </c>
      <c r="L10" s="187">
        <v>673251.5717149149</v>
      </c>
      <c r="M10" s="188">
        <f t="shared" si="3"/>
        <v>0.005802204457346397</v>
      </c>
      <c r="N10" s="187">
        <v>100084.51</v>
      </c>
      <c r="O10" s="188">
        <f t="shared" si="4"/>
        <v>0.0006686254453723751</v>
      </c>
      <c r="P10" s="187">
        <v>160282.37157963606</v>
      </c>
      <c r="Q10" s="188">
        <f t="shared" si="5"/>
        <v>0.0008505618210806606</v>
      </c>
      <c r="R10" s="187">
        <v>1158125.7976562204</v>
      </c>
      <c r="S10" s="188">
        <f t="shared" si="6"/>
        <v>0.007915213153718334</v>
      </c>
      <c r="T10" s="187">
        <v>1344567.1184846982</v>
      </c>
      <c r="U10" s="188">
        <f t="shared" si="7"/>
        <v>0.009820282645191657</v>
      </c>
      <c r="V10" s="164">
        <f t="shared" si="8"/>
        <v>18173888.998603992</v>
      </c>
      <c r="W10" s="188">
        <f t="shared" si="9"/>
        <v>0.011233686536249538</v>
      </c>
    </row>
    <row r="11" spans="1:23" s="451" customFormat="1" ht="15" customHeight="1" thickBot="1">
      <c r="A11" s="454" t="s">
        <v>2037</v>
      </c>
      <c r="B11" s="187">
        <v>170302960.12839797</v>
      </c>
      <c r="C11" s="188">
        <f t="shared" si="0"/>
        <v>0.9032283160316464</v>
      </c>
      <c r="D11" s="187">
        <v>212169679.20520002</v>
      </c>
      <c r="E11" s="188">
        <f t="shared" si="10"/>
        <v>0.9277942550264379</v>
      </c>
      <c r="F11" s="187">
        <v>135025498.84462038</v>
      </c>
      <c r="G11" s="188">
        <f t="shared" si="11"/>
        <v>0.922323249241878</v>
      </c>
      <c r="H11" s="187">
        <v>151749906.061</v>
      </c>
      <c r="I11" s="188">
        <f t="shared" si="1"/>
        <v>0.9153207230280388</v>
      </c>
      <c r="J11" s="187">
        <v>137158774.37568402</v>
      </c>
      <c r="K11" s="188">
        <f t="shared" si="2"/>
        <v>0.9084062386681443</v>
      </c>
      <c r="L11" s="187">
        <v>105845095.32372922</v>
      </c>
      <c r="M11" s="188">
        <f t="shared" si="3"/>
        <v>0.9121922765234158</v>
      </c>
      <c r="N11" s="187">
        <v>139297222.15052727</v>
      </c>
      <c r="O11" s="188">
        <f t="shared" si="4"/>
        <v>0.9305902301917747</v>
      </c>
      <c r="P11" s="187">
        <v>175742094.13448414</v>
      </c>
      <c r="Q11" s="188">
        <f t="shared" si="5"/>
        <v>0.9326010973907198</v>
      </c>
      <c r="R11" s="187">
        <v>129805793.20138457</v>
      </c>
      <c r="S11" s="188">
        <f t="shared" si="6"/>
        <v>0.8871579614716673</v>
      </c>
      <c r="T11" s="187">
        <v>122945628.66116427</v>
      </c>
      <c r="U11" s="188">
        <f t="shared" si="7"/>
        <v>0.8979550420689169</v>
      </c>
      <c r="V11" s="164">
        <f t="shared" si="8"/>
        <v>1480042652.0861917</v>
      </c>
      <c r="W11" s="188">
        <f t="shared" si="9"/>
        <v>0.9148474063582563</v>
      </c>
    </row>
    <row r="12" spans="1:23" s="451" customFormat="1" ht="15" customHeight="1" thickBot="1">
      <c r="A12" s="454" t="s">
        <v>2038</v>
      </c>
      <c r="B12" s="187">
        <v>8589406.288366</v>
      </c>
      <c r="C12" s="188">
        <f t="shared" si="0"/>
        <v>0.045555256184057244</v>
      </c>
      <c r="D12" s="187">
        <v>10471111.8576</v>
      </c>
      <c r="E12" s="188">
        <f t="shared" si="10"/>
        <v>0.04578899992502976</v>
      </c>
      <c r="F12" s="187">
        <v>7234258.091209999</v>
      </c>
      <c r="G12" s="188">
        <f t="shared" si="11"/>
        <v>0.04941529181993456</v>
      </c>
      <c r="H12" s="187">
        <v>6896719.5370000005</v>
      </c>
      <c r="I12" s="188">
        <f t="shared" si="1"/>
        <v>0.04159943473435085</v>
      </c>
      <c r="J12" s="187">
        <v>9971324.38787186</v>
      </c>
      <c r="K12" s="188">
        <f t="shared" si="2"/>
        <v>0.06604034866129897</v>
      </c>
      <c r="L12" s="187">
        <v>6899001.054584641</v>
      </c>
      <c r="M12" s="188">
        <f t="shared" si="3"/>
        <v>0.05945684548226909</v>
      </c>
      <c r="N12" s="187">
        <v>8194071.553030001</v>
      </c>
      <c r="O12" s="188">
        <f t="shared" si="4"/>
        <v>0.054741385470716636</v>
      </c>
      <c r="P12" s="187">
        <v>9259281.989043351</v>
      </c>
      <c r="Q12" s="188">
        <f t="shared" si="5"/>
        <v>0.04913573260043197</v>
      </c>
      <c r="R12" s="187">
        <v>10754435.501110947</v>
      </c>
      <c r="S12" s="188">
        <f t="shared" si="6"/>
        <v>0.07350121162267469</v>
      </c>
      <c r="T12" s="187">
        <v>8931203.04481449</v>
      </c>
      <c r="U12" s="188">
        <f t="shared" si="7"/>
        <v>0.06523061367179549</v>
      </c>
      <c r="V12" s="164">
        <f t="shared" si="8"/>
        <v>87200813.3046313</v>
      </c>
      <c r="W12" s="188">
        <f t="shared" si="9"/>
        <v>0.05390076952959777</v>
      </c>
    </row>
    <row r="13" spans="1:23" ht="15" customHeight="1" thickBot="1">
      <c r="A13" s="192" t="s">
        <v>2039</v>
      </c>
      <c r="B13" s="184">
        <f>1655062.605401</f>
        <v>1655062.605401</v>
      </c>
      <c r="C13" s="193">
        <f t="shared" si="0"/>
        <v>0.008777882714876077</v>
      </c>
      <c r="D13" s="184">
        <f>1930694.7546</f>
        <v>1930694.7546</v>
      </c>
      <c r="E13" s="193">
        <f>D13/D$4</f>
        <v>0.008442712022932898</v>
      </c>
      <c r="F13" s="184">
        <v>7302223.9531141</v>
      </c>
      <c r="G13" s="193">
        <f>F13/F$4</f>
        <v>0.04987954853533504</v>
      </c>
      <c r="H13" s="184">
        <v>5197486.940999999</v>
      </c>
      <c r="I13" s="193">
        <f t="shared" si="1"/>
        <v>0.031350052387199207</v>
      </c>
      <c r="J13" s="184">
        <v>2005241.2870885297</v>
      </c>
      <c r="K13" s="193">
        <f t="shared" si="2"/>
        <v>0.013280766786649667</v>
      </c>
      <c r="L13" s="184">
        <v>1922887.6380389677</v>
      </c>
      <c r="M13" s="193">
        <f t="shared" si="3"/>
        <v>0.016571795288924118</v>
      </c>
      <c r="N13" s="184">
        <v>1308378.2493854892</v>
      </c>
      <c r="O13" s="193">
        <f t="shared" si="4"/>
        <v>0.008740763078231599</v>
      </c>
      <c r="P13" s="184">
        <v>1681652.572833337</v>
      </c>
      <c r="Q13" s="193">
        <f t="shared" si="5"/>
        <v>0.00892393505709662</v>
      </c>
      <c r="R13" s="184">
        <v>2037238.9811138022</v>
      </c>
      <c r="S13" s="193">
        <f t="shared" si="6"/>
        <v>0.01392351401999105</v>
      </c>
      <c r="T13" s="184">
        <v>4554785.089000001</v>
      </c>
      <c r="U13" s="193">
        <f t="shared" si="7"/>
        <v>0.0332666747142333</v>
      </c>
      <c r="V13" s="161">
        <f>SUM(B13,D13,F13,H13,J13,L13,N13,P13,R13,T13)</f>
        <v>29595652.07157522</v>
      </c>
      <c r="W13" s="193">
        <f t="shared" si="9"/>
        <v>0.018293733291400563</v>
      </c>
    </row>
    <row r="14" spans="1:24" ht="15" customHeight="1" thickBot="1">
      <c r="A14" s="186" t="s">
        <v>2969</v>
      </c>
      <c r="B14" s="187">
        <f>26589.19582</f>
        <v>26589.19582</v>
      </c>
      <c r="C14" s="194">
        <f>B14/B5</f>
        <v>0.0001663569888547637</v>
      </c>
      <c r="D14" s="187">
        <f>31824.1927</f>
        <v>31824.1927</v>
      </c>
      <c r="E14" s="194">
        <f>D14/D5</f>
        <v>0.00015177898033003057</v>
      </c>
      <c r="F14" s="187">
        <v>90089.86782</v>
      </c>
      <c r="G14" s="194">
        <f>F14/F5</f>
        <v>0.0006776048148227921</v>
      </c>
      <c r="H14" s="187">
        <v>53126.372</v>
      </c>
      <c r="I14" s="194">
        <f>H14/H5</f>
        <v>0.00035582045376879426</v>
      </c>
      <c r="J14" s="187">
        <v>177931.85843140213</v>
      </c>
      <c r="K14" s="194">
        <f>J14/J5</f>
        <v>0.0013003654562178152</v>
      </c>
      <c r="L14" s="187">
        <v>107377.39202474689</v>
      </c>
      <c r="M14" s="194">
        <f>L14/L5</f>
        <v>0.0010535548163958242</v>
      </c>
      <c r="N14" s="187">
        <v>40969.672</v>
      </c>
      <c r="O14" s="194">
        <f>N14/N5</f>
        <v>0.000296053214140894</v>
      </c>
      <c r="P14" s="187">
        <v>45293.12234951285</v>
      </c>
      <c r="Q14" s="194">
        <f>P14/P5</f>
        <v>0.0002592665147957288</v>
      </c>
      <c r="R14" s="187">
        <v>17024.864</v>
      </c>
      <c r="S14" s="194">
        <f>R14/R5</f>
        <v>0.00013319960788950983</v>
      </c>
      <c r="T14" s="187">
        <v>55818.872</v>
      </c>
      <c r="U14" s="194">
        <f>T14/T5</f>
        <v>0.00046038254070770085</v>
      </c>
      <c r="V14" s="164">
        <f aca="true" t="shared" si="12" ref="V14:V21">SUM(B14,D14,F14,H14,J14,L14,N14,P14,R14,T14)</f>
        <v>646045.4091456619</v>
      </c>
      <c r="W14" s="194">
        <f aca="true" t="shared" si="13" ref="W14:W21">V14/V5</f>
        <v>0.0004447324933466986</v>
      </c>
      <c r="X14" s="195"/>
    </row>
    <row r="15" spans="1:24" ht="25.5" customHeight="1" thickBot="1">
      <c r="A15" s="189" t="s">
        <v>2033</v>
      </c>
      <c r="B15" s="187">
        <v>7085.232</v>
      </c>
      <c r="C15" s="188">
        <f>B15/B6</f>
        <v>0.18256785173188442</v>
      </c>
      <c r="D15" s="187">
        <v>12960.2826</v>
      </c>
      <c r="E15" s="188">
        <f aca="true" t="shared" si="14" ref="E15:E21">D15/D6</f>
        <v>0.17008146359635132</v>
      </c>
      <c r="F15" s="187">
        <v>9464.269</v>
      </c>
      <c r="G15" s="194">
        <f aca="true" t="shared" si="15" ref="G15:G21">F15/F6</f>
        <v>0.8112568286056937</v>
      </c>
      <c r="H15" s="187">
        <v>34601.698</v>
      </c>
      <c r="I15" s="188">
        <f aca="true" t="shared" si="16" ref="I15:I21">H15/H6</f>
        <v>0.7485140292010414</v>
      </c>
      <c r="J15" s="187">
        <v>9987.121</v>
      </c>
      <c r="K15" s="188">
        <f aca="true" t="shared" si="17" ref="K15:K21">J15/J6</f>
        <v>0.22097334937043045</v>
      </c>
      <c r="L15" s="187">
        <v>90287.091</v>
      </c>
      <c r="M15" s="188">
        <f aca="true" t="shared" si="18" ref="M15:U21">L15/L6</f>
        <v>0.9760263070536512</v>
      </c>
      <c r="N15" s="187">
        <v>16672.069</v>
      </c>
      <c r="O15" s="188">
        <f t="shared" si="18"/>
        <v>0.8822910493181827</v>
      </c>
      <c r="P15" s="187">
        <v>12079.91</v>
      </c>
      <c r="Q15" s="188">
        <f t="shared" si="18"/>
        <v>0.8835155110056281</v>
      </c>
      <c r="R15" s="187">
        <v>12172.4</v>
      </c>
      <c r="S15" s="188">
        <f t="shared" si="18"/>
        <v>0.894666118114905</v>
      </c>
      <c r="T15" s="187">
        <v>14617.692000000001</v>
      </c>
      <c r="U15" s="188">
        <f t="shared" si="18"/>
        <v>0.5913200574099814</v>
      </c>
      <c r="V15" s="164">
        <f t="shared" si="12"/>
        <v>219927.7646</v>
      </c>
      <c r="W15" s="188">
        <f t="shared" si="13"/>
        <v>0.5764843579149398</v>
      </c>
      <c r="X15" s="195"/>
    </row>
    <row r="16" spans="1:24" ht="25.5" customHeight="1" thickBot="1">
      <c r="A16" s="189" t="s">
        <v>2034</v>
      </c>
      <c r="B16" s="187">
        <v>424697.020892</v>
      </c>
      <c r="C16" s="188">
        <f aca="true" t="shared" si="19" ref="C16:C21">B16/B7</f>
        <v>0.2525335242726543</v>
      </c>
      <c r="D16" s="187">
        <v>547228.0705</v>
      </c>
      <c r="E16" s="188">
        <f t="shared" si="14"/>
        <v>0.5578687159644222</v>
      </c>
      <c r="F16" s="187">
        <v>812487.76157</v>
      </c>
      <c r="G16" s="194">
        <f t="shared" si="15"/>
        <v>0.9869951015756127</v>
      </c>
      <c r="H16" s="187">
        <v>66080.584</v>
      </c>
      <c r="I16" s="188">
        <f t="shared" si="16"/>
        <v>0.09040911085493965</v>
      </c>
      <c r="J16" s="187">
        <v>256416.3334835166</v>
      </c>
      <c r="K16" s="188">
        <f t="shared" si="17"/>
        <v>0.4370000225884182</v>
      </c>
      <c r="L16" s="187">
        <v>190396.10118196343</v>
      </c>
      <c r="M16" s="188">
        <f t="shared" si="18"/>
        <v>0.7675322779358787</v>
      </c>
      <c r="N16" s="187">
        <v>210520.79338000034</v>
      </c>
      <c r="O16" s="188">
        <f t="shared" si="18"/>
        <v>0.7386679349946383</v>
      </c>
      <c r="P16" s="187">
        <v>290276.8839562056</v>
      </c>
      <c r="Q16" s="188">
        <f t="shared" si="18"/>
        <v>0.27087724161930604</v>
      </c>
      <c r="R16" s="187">
        <v>296821.5446105592</v>
      </c>
      <c r="S16" s="188">
        <f t="shared" si="18"/>
        <v>0.28205707144952663</v>
      </c>
      <c r="T16" s="187">
        <v>238151.84500000047</v>
      </c>
      <c r="U16" s="188">
        <f t="shared" si="18"/>
        <v>0.22868639888347708</v>
      </c>
      <c r="V16" s="164">
        <f t="shared" si="12"/>
        <v>3333076.938574245</v>
      </c>
      <c r="W16" s="188">
        <f t="shared" si="13"/>
        <v>0.39203661104761794</v>
      </c>
      <c r="X16" s="195"/>
    </row>
    <row r="17" spans="1:24" ht="36.75" customHeight="1" thickBot="1">
      <c r="A17" s="189" t="s">
        <v>2035</v>
      </c>
      <c r="B17" s="187">
        <v>248302.608662</v>
      </c>
      <c r="C17" s="188">
        <f t="shared" si="19"/>
        <v>0.0317537795759726</v>
      </c>
      <c r="D17" s="187">
        <v>285925.763</v>
      </c>
      <c r="E17" s="188">
        <f t="shared" si="14"/>
        <v>0.029589340686649913</v>
      </c>
      <c r="F17" s="187">
        <v>4723396.58257</v>
      </c>
      <c r="G17" s="194">
        <f t="shared" si="15"/>
        <v>0.6849775686992642</v>
      </c>
      <c r="H17" s="187">
        <v>4051212.588</v>
      </c>
      <c r="I17" s="188">
        <f t="shared" si="16"/>
        <v>0.6218923552278136</v>
      </c>
      <c r="J17" s="187">
        <v>254527.61150069692</v>
      </c>
      <c r="K17" s="188">
        <f t="shared" si="17"/>
        <v>0.033260396469791724</v>
      </c>
      <c r="L17" s="187">
        <v>119486.21434331551</v>
      </c>
      <c r="M17" s="188">
        <f t="shared" si="18"/>
        <v>0.017446459193536833</v>
      </c>
      <c r="N17" s="187">
        <v>193317.9212000001</v>
      </c>
      <c r="O17" s="188">
        <f t="shared" si="18"/>
        <v>0.024070303394427315</v>
      </c>
      <c r="P17" s="187">
        <v>225956.34879117212</v>
      </c>
      <c r="Q17" s="188">
        <f t="shared" si="18"/>
        <v>0.026997938169217174</v>
      </c>
      <c r="R17" s="187">
        <v>327783.7001865205</v>
      </c>
      <c r="S17" s="188">
        <f t="shared" si="18"/>
        <v>0.034391036861974915</v>
      </c>
      <c r="T17" s="187">
        <v>1596900.3590000009</v>
      </c>
      <c r="U17" s="188">
        <f t="shared" si="18"/>
        <v>0.19897632738786789</v>
      </c>
      <c r="V17" s="164">
        <f t="shared" si="12"/>
        <v>12026809.697253706</v>
      </c>
      <c r="W17" s="188">
        <f t="shared" si="13"/>
        <v>0.1515636721230944</v>
      </c>
      <c r="X17" s="195"/>
    </row>
    <row r="18" spans="1:24" ht="15" customHeight="1" thickBot="1">
      <c r="A18" s="189" t="s">
        <v>929</v>
      </c>
      <c r="B18" s="187">
        <v>22661.597958</v>
      </c>
      <c r="C18" s="188">
        <f t="shared" si="19"/>
        <v>0.00417677296060613</v>
      </c>
      <c r="D18" s="187">
        <v>152454.6312</v>
      </c>
      <c r="E18" s="188">
        <f t="shared" si="14"/>
        <v>0.04352443426468464</v>
      </c>
      <c r="F18" s="187">
        <v>330479.60079</v>
      </c>
      <c r="G18" s="194">
        <f t="shared" si="15"/>
        <v>0.20620671937702428</v>
      </c>
      <c r="H18" s="187">
        <v>146114.422</v>
      </c>
      <c r="I18" s="188">
        <f t="shared" si="16"/>
        <v>0.026989314424797226</v>
      </c>
      <c r="J18" s="187">
        <v>218533.1523684146</v>
      </c>
      <c r="K18" s="188">
        <f t="shared" si="17"/>
        <v>0.11956023315413626</v>
      </c>
      <c r="L18" s="187">
        <v>313142.6038530775</v>
      </c>
      <c r="M18" s="188">
        <f t="shared" si="18"/>
        <v>0.30681914412375677</v>
      </c>
      <c r="N18" s="187">
        <v>7947.036000000001</v>
      </c>
      <c r="O18" s="188">
        <f t="shared" si="18"/>
        <v>0.10347347030752581</v>
      </c>
      <c r="P18" s="187">
        <v>72938.87161622666</v>
      </c>
      <c r="Q18" s="188">
        <f t="shared" si="18"/>
        <v>0.25799354845866734</v>
      </c>
      <c r="R18" s="187">
        <v>128935.06349895854</v>
      </c>
      <c r="S18" s="188">
        <f t="shared" si="18"/>
        <v>0.07066623230853271</v>
      </c>
      <c r="T18" s="187">
        <v>136311.922</v>
      </c>
      <c r="U18" s="188">
        <f t="shared" si="18"/>
        <v>0.0883393689320232</v>
      </c>
      <c r="V18" s="164">
        <f t="shared" si="12"/>
        <v>1529518.9012846774</v>
      </c>
      <c r="W18" s="188">
        <f t="shared" si="13"/>
        <v>0.06791716518151528</v>
      </c>
      <c r="X18" s="195"/>
    </row>
    <row r="19" spans="1:24" s="451" customFormat="1" ht="15" customHeight="1" thickBot="1">
      <c r="A19" s="453" t="s">
        <v>2036</v>
      </c>
      <c r="B19" s="164">
        <v>7576.351442</v>
      </c>
      <c r="C19" s="151">
        <f t="shared" si="19"/>
        <v>0.0015045737618174903</v>
      </c>
      <c r="D19" s="164">
        <v>18173.1054</v>
      </c>
      <c r="E19" s="151">
        <f t="shared" si="14"/>
        <v>0.006381444892144469</v>
      </c>
      <c r="F19" s="164">
        <v>270089.99323</v>
      </c>
      <c r="G19" s="212">
        <f t="shared" si="15"/>
        <v>0.1905068390817635</v>
      </c>
      <c r="H19" s="164">
        <v>163724.38</v>
      </c>
      <c r="I19" s="151">
        <f t="shared" si="16"/>
        <v>0.03714530865986443</v>
      </c>
      <c r="J19" s="164">
        <v>88708.02921836887</v>
      </c>
      <c r="K19" s="151">
        <f t="shared" si="17"/>
        <v>0.08622398077563592</v>
      </c>
      <c r="L19" s="164">
        <v>285626.0352695798</v>
      </c>
      <c r="M19" s="151">
        <f t="shared" si="18"/>
        <v>0.42424859780427926</v>
      </c>
      <c r="N19" s="187">
        <v>515.7</v>
      </c>
      <c r="O19" s="188">
        <f t="shared" si="18"/>
        <v>0.005152645499288552</v>
      </c>
      <c r="P19" s="187">
        <v>362.32318857738454</v>
      </c>
      <c r="Q19" s="188">
        <f t="shared" si="18"/>
        <v>0.002260530493818934</v>
      </c>
      <c r="R19" s="187">
        <v>80970.40582023539</v>
      </c>
      <c r="S19" s="188">
        <f t="shared" si="18"/>
        <v>0.06991503512321444</v>
      </c>
      <c r="T19" s="187">
        <v>86862.263</v>
      </c>
      <c r="U19" s="188">
        <f t="shared" si="18"/>
        <v>0.06460240013744509</v>
      </c>
      <c r="V19" s="164">
        <f t="shared" si="12"/>
        <v>1002608.5865687615</v>
      </c>
      <c r="W19" s="188">
        <f t="shared" si="13"/>
        <v>0.05516753110166876</v>
      </c>
      <c r="X19" s="452"/>
    </row>
    <row r="20" spans="1:24" s="451" customFormat="1" ht="15" customHeight="1" thickBot="1">
      <c r="A20" s="454" t="s">
        <v>2037</v>
      </c>
      <c r="B20" s="164">
        <v>173900.807924</v>
      </c>
      <c r="C20" s="151">
        <f t="shared" si="19"/>
        <v>0.0010211261612416453</v>
      </c>
      <c r="D20" s="164">
        <v>203987.9879</v>
      </c>
      <c r="E20" s="151">
        <f t="shared" si="14"/>
        <v>0.0009614379805076337</v>
      </c>
      <c r="F20" s="164">
        <v>497765.18321720004</v>
      </c>
      <c r="G20" s="212">
        <f t="shared" si="15"/>
        <v>0.003686453206812439</v>
      </c>
      <c r="H20" s="164">
        <v>391691.622</v>
      </c>
      <c r="I20" s="151">
        <f t="shared" si="16"/>
        <v>0.00258116549899246</v>
      </c>
      <c r="J20" s="164">
        <v>353038.9273703456</v>
      </c>
      <c r="K20" s="151">
        <f t="shared" si="17"/>
        <v>0.002573943438743162</v>
      </c>
      <c r="L20" s="164">
        <v>401261.7998548314</v>
      </c>
      <c r="M20" s="151">
        <f t="shared" si="18"/>
        <v>0.0037910287541200152</v>
      </c>
      <c r="N20" s="187">
        <v>111941.879</v>
      </c>
      <c r="O20" s="188">
        <f t="shared" si="18"/>
        <v>0.0008036188896791743</v>
      </c>
      <c r="P20" s="187">
        <v>86965.65660877008</v>
      </c>
      <c r="Q20" s="188">
        <f t="shared" si="18"/>
        <v>0.0004948481866969267</v>
      </c>
      <c r="R20" s="187">
        <v>222311.46702837542</v>
      </c>
      <c r="S20" s="188">
        <f t="shared" si="18"/>
        <v>0.0017126467282047636</v>
      </c>
      <c r="T20" s="187">
        <v>467503.78599999996</v>
      </c>
      <c r="U20" s="188">
        <f t="shared" si="18"/>
        <v>0.0038025246695710603</v>
      </c>
      <c r="V20" s="164">
        <f t="shared" si="12"/>
        <v>2910369.1169035225</v>
      </c>
      <c r="W20" s="188">
        <f t="shared" si="13"/>
        <v>0.001966408949634807</v>
      </c>
      <c r="X20" s="452"/>
    </row>
    <row r="21" spans="1:24" s="451" customFormat="1" ht="15" customHeight="1" thickBot="1">
      <c r="A21" s="454" t="s">
        <v>2038</v>
      </c>
      <c r="B21" s="164">
        <v>572007.936572</v>
      </c>
      <c r="C21" s="151">
        <f t="shared" si="19"/>
        <v>0.0665945837661401</v>
      </c>
      <c r="D21" s="164">
        <v>740935.0443</v>
      </c>
      <c r="E21" s="151">
        <f t="shared" si="14"/>
        <v>0.07075992066326983</v>
      </c>
      <c r="F21" s="164">
        <v>5077391.93921</v>
      </c>
      <c r="G21" s="212">
        <f t="shared" si="15"/>
        <v>0.7018538563587186</v>
      </c>
      <c r="H21" s="164">
        <v>3923829.007</v>
      </c>
      <c r="I21" s="151">
        <f t="shared" si="16"/>
        <v>0.5689413620416445</v>
      </c>
      <c r="J21" s="164">
        <v>395181.44802186533</v>
      </c>
      <c r="K21" s="151">
        <f t="shared" si="17"/>
        <v>0.03963179138997075</v>
      </c>
      <c r="L21" s="164">
        <v>211452.88109167028</v>
      </c>
      <c r="M21" s="151">
        <f t="shared" si="18"/>
        <v>0.030649782398736124</v>
      </c>
      <c r="N21" s="187">
        <v>390660.401</v>
      </c>
      <c r="O21" s="188">
        <f t="shared" si="18"/>
        <v>0.04767598116171462</v>
      </c>
      <c r="P21" s="187">
        <v>429298.8098648658</v>
      </c>
      <c r="Q21" s="188">
        <f t="shared" si="18"/>
        <v>0.04636415764989786</v>
      </c>
      <c r="R21" s="187">
        <v>465118.03887178964</v>
      </c>
      <c r="S21" s="188">
        <f t="shared" si="18"/>
        <v>0.04324894959142601</v>
      </c>
      <c r="T21" s="187">
        <v>1759027.77</v>
      </c>
      <c r="U21" s="188">
        <f t="shared" si="18"/>
        <v>0.19695306009432875</v>
      </c>
      <c r="V21" s="164">
        <f t="shared" si="12"/>
        <v>13964903.275932193</v>
      </c>
      <c r="W21" s="188">
        <f t="shared" si="13"/>
        <v>0.1601464796795709</v>
      </c>
      <c r="X21" s="452"/>
    </row>
    <row r="22" spans="1:23" ht="15" customHeight="1" thickBot="1">
      <c r="A22" s="192" t="s">
        <v>2040</v>
      </c>
      <c r="B22" s="184">
        <f>3158723.939671</f>
        <v>3158723.939671</v>
      </c>
      <c r="C22" s="193">
        <f>B22/B$4</f>
        <v>0.016752785169951604</v>
      </c>
      <c r="D22" s="184">
        <f>4361636.8216</f>
        <v>4361636.8216</v>
      </c>
      <c r="E22" s="193">
        <f>D22/D$4</f>
        <v>0.01907294954091194</v>
      </c>
      <c r="F22" s="184">
        <v>1095292.0534098</v>
      </c>
      <c r="G22" s="193">
        <f>F22/F$4</f>
        <v>0.0074816485346388606</v>
      </c>
      <c r="H22" s="184">
        <v>3388390.1589999995</v>
      </c>
      <c r="I22" s="193">
        <f>H22/H$4</f>
        <v>0.020437994399747788</v>
      </c>
      <c r="J22" s="184">
        <v>6559977.449371732</v>
      </c>
      <c r="K22" s="193">
        <f>J22/J$4</f>
        <v>0.04344690646045957</v>
      </c>
      <c r="L22" s="184">
        <v>6458428.704011082</v>
      </c>
      <c r="M22" s="193">
        <f>L22/L$4</f>
        <v>0.055659912859044654</v>
      </c>
      <c r="N22" s="184">
        <v>6779252.214800488</v>
      </c>
      <c r="O22" s="193">
        <f>N22/N$4</f>
        <v>0.04528953113136725</v>
      </c>
      <c r="P22" s="184">
        <v>7158357.329627888</v>
      </c>
      <c r="Q22" s="193">
        <f>P22/P$4</f>
        <v>0.0379868689627497</v>
      </c>
      <c r="R22" s="184">
        <v>7139276.602011936</v>
      </c>
      <c r="S22" s="193">
        <f>R22/R$4</f>
        <v>0.048793400667388104</v>
      </c>
      <c r="T22" s="184">
        <v>6609481.814</v>
      </c>
      <c r="U22" s="193">
        <f>T22/T$4</f>
        <v>0.04827351395063343</v>
      </c>
      <c r="V22" s="161">
        <f aca="true" t="shared" si="20" ref="V22:V31">SUM(B22,D22,F22,H22,J22,L22,N22,P22,R22,T22)</f>
        <v>52708817.087503925</v>
      </c>
      <c r="W22" s="193">
        <f>V22/V$4</f>
        <v>0.03258049660713869</v>
      </c>
    </row>
    <row r="23" spans="1:24" ht="15" customHeight="1" thickBot="1">
      <c r="A23" s="186" t="s">
        <v>2969</v>
      </c>
      <c r="B23" s="187">
        <f>63790.73778</f>
        <v>63790.73778</v>
      </c>
      <c r="C23" s="194">
        <f>B23/B5</f>
        <v>0.0003991107939384311</v>
      </c>
      <c r="D23" s="187">
        <f>44451.2537</f>
        <v>44451.2537</v>
      </c>
      <c r="E23" s="194">
        <f>D23/D5</f>
        <v>0.00021200116604929616</v>
      </c>
      <c r="F23" s="187">
        <v>467.53526</v>
      </c>
      <c r="G23" s="194">
        <f>F23/F5</f>
        <v>3.5165346663445238E-06</v>
      </c>
      <c r="H23" s="187">
        <v>17750.357</v>
      </c>
      <c r="I23" s="194">
        <f>H23/H5</f>
        <v>0.00011888521358654217</v>
      </c>
      <c r="J23" s="187">
        <v>7341.485284344062</v>
      </c>
      <c r="K23" s="194">
        <f>J23/J5</f>
        <v>5.365320154160554E-05</v>
      </c>
      <c r="L23" s="187">
        <v>5836.917910761156</v>
      </c>
      <c r="M23" s="194">
        <f>L23/L5</f>
        <v>5.727009067581201E-05</v>
      </c>
      <c r="N23" s="187">
        <v>310.12</v>
      </c>
      <c r="O23" s="194">
        <f>N23/N5</f>
        <v>2.2409752943439248E-06</v>
      </c>
      <c r="P23" s="187">
        <v>3640.3101133746677</v>
      </c>
      <c r="Q23" s="194">
        <f>P23/P5</f>
        <v>2.0837832918366813E-05</v>
      </c>
      <c r="R23" s="187">
        <v>3932.011</v>
      </c>
      <c r="S23" s="194">
        <f>R23/R5</f>
        <v>3.0763377811255314E-05</v>
      </c>
      <c r="T23" s="187">
        <v>4724.16</v>
      </c>
      <c r="U23" s="194">
        <f>T23/T5</f>
        <v>3.8963897076058646E-05</v>
      </c>
      <c r="V23" s="164">
        <f t="shared" si="20"/>
        <v>152244.8880484799</v>
      </c>
      <c r="W23" s="194">
        <f>V23/V5</f>
        <v>0.00010480416345753102</v>
      </c>
      <c r="X23" s="195"/>
    </row>
    <row r="24" spans="1:24" ht="25.5" customHeight="1" thickBot="1">
      <c r="A24" s="186" t="s">
        <v>2033</v>
      </c>
      <c r="B24" s="187">
        <v>1018.512</v>
      </c>
      <c r="C24" s="188">
        <f aca="true" t="shared" si="21" ref="C24:C30">B24/B6</f>
        <v>0.02624438378350138</v>
      </c>
      <c r="D24" s="187">
        <v>1233.3834</v>
      </c>
      <c r="E24" s="188">
        <f aca="true" t="shared" si="22" ref="E24:E30">D24/D6</f>
        <v>0.016186040098187672</v>
      </c>
      <c r="F24" s="201" t="s">
        <v>1980</v>
      </c>
      <c r="G24" s="202" t="s">
        <v>1980</v>
      </c>
      <c r="H24" s="187">
        <v>11552.299</v>
      </c>
      <c r="I24" s="188">
        <f aca="true" t="shared" si="23" ref="I24:I30">H24/H6</f>
        <v>0.24990270335938897</v>
      </c>
      <c r="J24" s="187">
        <v>34715.8</v>
      </c>
      <c r="K24" s="188">
        <f aca="true" t="shared" si="24" ref="K24:K30">J24/J6</f>
        <v>0.7681159166965126</v>
      </c>
      <c r="L24" s="187">
        <v>82.18</v>
      </c>
      <c r="M24" s="188">
        <f aca="true" t="shared" si="25" ref="M24:U30">L24/L6</f>
        <v>0.0008883866012879856</v>
      </c>
      <c r="N24" s="187">
        <v>1.1</v>
      </c>
      <c r="O24" s="188">
        <f t="shared" si="25"/>
        <v>5.821234030701295E-05</v>
      </c>
      <c r="P24" s="187">
        <v>139.26</v>
      </c>
      <c r="Q24" s="188">
        <f t="shared" si="25"/>
        <v>0.01018537141937678</v>
      </c>
      <c r="R24" s="187">
        <v>0.9</v>
      </c>
      <c r="S24" s="188">
        <f t="shared" si="25"/>
        <v>6.614960946924309E-05</v>
      </c>
      <c r="T24" s="187">
        <v>7663.92</v>
      </c>
      <c r="U24" s="188">
        <f t="shared" si="25"/>
        <v>0.3100236079940325</v>
      </c>
      <c r="V24" s="164">
        <f t="shared" si="20"/>
        <v>56407.354400000004</v>
      </c>
      <c r="W24" s="188">
        <f aca="true" t="shared" si="26" ref="W24:W30">V24/V6</f>
        <v>0.14785744556676342</v>
      </c>
      <c r="X24" s="195"/>
    </row>
    <row r="25" spans="1:24" ht="25.5" customHeight="1" thickBot="1">
      <c r="A25" s="186" t="s">
        <v>2034</v>
      </c>
      <c r="B25" s="187">
        <v>10125.37646</v>
      </c>
      <c r="C25" s="188">
        <f t="shared" si="21"/>
        <v>0.006020755682864595</v>
      </c>
      <c r="D25" s="187">
        <v>418465.1167</v>
      </c>
      <c r="E25" s="188">
        <f t="shared" si="22"/>
        <v>0.4266020146152775</v>
      </c>
      <c r="F25" s="187">
        <v>1880.01149</v>
      </c>
      <c r="G25" s="188">
        <f aca="true" t="shared" si="27" ref="G25:G30">F25/F7</f>
        <v>0.0022838031774783884</v>
      </c>
      <c r="H25" s="187">
        <v>654721.565</v>
      </c>
      <c r="I25" s="188">
        <f t="shared" si="23"/>
        <v>0.8957668193308426</v>
      </c>
      <c r="J25" s="187">
        <v>283654.60770677193</v>
      </c>
      <c r="K25" s="188">
        <f t="shared" si="24"/>
        <v>0.48342111553957096</v>
      </c>
      <c r="L25" s="187">
        <v>15252.915621724665</v>
      </c>
      <c r="M25" s="188">
        <f t="shared" si="25"/>
        <v>0.06148815548022954</v>
      </c>
      <c r="N25" s="187">
        <v>51487.882900000004</v>
      </c>
      <c r="O25" s="188">
        <f t="shared" si="25"/>
        <v>0.1806588676033456</v>
      </c>
      <c r="P25" s="187">
        <v>56576.71082213412</v>
      </c>
      <c r="Q25" s="188">
        <f t="shared" si="25"/>
        <v>0.052795603833562514</v>
      </c>
      <c r="R25" s="187">
        <v>43642.19208818876</v>
      </c>
      <c r="S25" s="188">
        <f t="shared" si="25"/>
        <v>0.04147134571441861</v>
      </c>
      <c r="T25" s="187">
        <v>40897.08699999998</v>
      </c>
      <c r="U25" s="188">
        <f t="shared" si="25"/>
        <v>0.03927161492641068</v>
      </c>
      <c r="V25" s="164">
        <f t="shared" si="20"/>
        <v>1576703.4657888196</v>
      </c>
      <c r="W25" s="188">
        <f t="shared" si="26"/>
        <v>0.1854519096757759</v>
      </c>
      <c r="X25" s="195"/>
    </row>
    <row r="26" spans="1:24" ht="36.75" customHeight="1" thickBot="1">
      <c r="A26" s="186" t="s">
        <v>2035</v>
      </c>
      <c r="B26" s="187">
        <v>1546957.949242</v>
      </c>
      <c r="C26" s="188">
        <f t="shared" si="21"/>
        <v>0.1978302281970613</v>
      </c>
      <c r="D26" s="187">
        <v>1283250.6105</v>
      </c>
      <c r="E26" s="188">
        <f t="shared" si="22"/>
        <v>0.13279859464932509</v>
      </c>
      <c r="F26" s="187">
        <v>19943.37849</v>
      </c>
      <c r="G26" s="188">
        <f t="shared" si="27"/>
        <v>0.0028921490437918257</v>
      </c>
      <c r="H26" s="187">
        <v>218532.383</v>
      </c>
      <c r="I26" s="188">
        <f t="shared" si="23"/>
        <v>0.03354640503437748</v>
      </c>
      <c r="J26" s="187">
        <v>4620233.004454694</v>
      </c>
      <c r="K26" s="188">
        <f t="shared" si="24"/>
        <v>0.6037489630493756</v>
      </c>
      <c r="L26" s="187">
        <v>4976858.107165776</v>
      </c>
      <c r="M26" s="188">
        <f t="shared" si="25"/>
        <v>0.7266825914260642</v>
      </c>
      <c r="N26" s="187">
        <v>6236381.825</v>
      </c>
      <c r="O26" s="188">
        <f t="shared" si="25"/>
        <v>0.7765012249223495</v>
      </c>
      <c r="P26" s="187">
        <v>6190515.167817352</v>
      </c>
      <c r="Q26" s="188">
        <f t="shared" si="25"/>
        <v>0.739661207266169</v>
      </c>
      <c r="R26" s="187">
        <v>4690729.8952820515</v>
      </c>
      <c r="S26" s="188">
        <f t="shared" si="25"/>
        <v>0.4921509661597465</v>
      </c>
      <c r="T26" s="187">
        <v>5633744.748999999</v>
      </c>
      <c r="U26" s="188">
        <f t="shared" si="25"/>
        <v>0.7019735660267985</v>
      </c>
      <c r="V26" s="164">
        <f t="shared" si="20"/>
        <v>35417147.06995187</v>
      </c>
      <c r="W26" s="188">
        <f t="shared" si="26"/>
        <v>0.44633223615996503</v>
      </c>
      <c r="X26" s="195"/>
    </row>
    <row r="27" spans="1:24" ht="15" customHeight="1" thickBot="1">
      <c r="A27" s="186" t="s">
        <v>929</v>
      </c>
      <c r="B27" s="187">
        <v>599517.056842</v>
      </c>
      <c r="C27" s="188">
        <f t="shared" si="21"/>
        <v>0.11049735491207296</v>
      </c>
      <c r="D27" s="187">
        <v>2126452.1766</v>
      </c>
      <c r="E27" s="188">
        <f t="shared" si="22"/>
        <v>0.60708308595759</v>
      </c>
      <c r="F27" s="187">
        <v>650083.17414</v>
      </c>
      <c r="G27" s="188">
        <f t="shared" si="27"/>
        <v>0.4056272106997427</v>
      </c>
      <c r="H27" s="187">
        <v>1700020.908</v>
      </c>
      <c r="I27" s="188">
        <f t="shared" si="23"/>
        <v>0.3140169066592296</v>
      </c>
      <c r="J27" s="187">
        <v>929452.3936498179</v>
      </c>
      <c r="K27" s="188">
        <f t="shared" si="24"/>
        <v>0.5085065752545455</v>
      </c>
      <c r="L27" s="187">
        <v>259724.77999889696</v>
      </c>
      <c r="M27" s="188">
        <f t="shared" si="25"/>
        <v>0.2544800155790409</v>
      </c>
      <c r="N27" s="187">
        <v>33854.64379000002</v>
      </c>
      <c r="O27" s="188">
        <f t="shared" si="25"/>
        <v>0.440800504612843</v>
      </c>
      <c r="P27" s="187">
        <v>44788.0430090148</v>
      </c>
      <c r="Q27" s="188">
        <f t="shared" si="25"/>
        <v>0.1584206869172966</v>
      </c>
      <c r="R27" s="187">
        <v>583264.7715127578</v>
      </c>
      <c r="S27" s="188">
        <f t="shared" si="25"/>
        <v>0.319673506357227</v>
      </c>
      <c r="T27" s="187">
        <v>103118.191</v>
      </c>
      <c r="U27" s="188">
        <f t="shared" si="25"/>
        <v>0.0668275803370437</v>
      </c>
      <c r="V27" s="164">
        <f t="shared" si="20"/>
        <v>7030276.138542487</v>
      </c>
      <c r="W27" s="188">
        <f t="shared" si="26"/>
        <v>0.3121742564750342</v>
      </c>
      <c r="X27" s="195"/>
    </row>
    <row r="28" spans="1:24" ht="15" customHeight="1" thickBot="1">
      <c r="A28" s="191" t="s">
        <v>2036</v>
      </c>
      <c r="B28" s="187">
        <v>330127.319672</v>
      </c>
      <c r="C28" s="188">
        <f t="shared" si="21"/>
        <v>0.06555938000501564</v>
      </c>
      <c r="D28" s="187">
        <v>1684599.9505</v>
      </c>
      <c r="E28" s="188">
        <f t="shared" si="22"/>
        <v>0.5915434656217341</v>
      </c>
      <c r="F28" s="187">
        <v>660506.57815</v>
      </c>
      <c r="G28" s="188">
        <f t="shared" si="27"/>
        <v>0.4658855327857874</v>
      </c>
      <c r="H28" s="187">
        <v>1079453.128</v>
      </c>
      <c r="I28" s="188">
        <f t="shared" si="23"/>
        <v>0.24490316972595128</v>
      </c>
      <c r="J28" s="187">
        <v>301126.48408854095</v>
      </c>
      <c r="K28" s="188">
        <f t="shared" si="24"/>
        <v>0.29269418342244863</v>
      </c>
      <c r="L28" s="187">
        <v>210115.28530064193</v>
      </c>
      <c r="M28" s="188">
        <f t="shared" si="25"/>
        <v>0.31209030045846553</v>
      </c>
      <c r="N28" s="187">
        <v>78266.99</v>
      </c>
      <c r="O28" s="188">
        <f t="shared" si="25"/>
        <v>0.7820090241736709</v>
      </c>
      <c r="P28" s="187">
        <v>72302.37824079931</v>
      </c>
      <c r="Q28" s="188">
        <f t="shared" si="25"/>
        <v>0.45109376363872916</v>
      </c>
      <c r="R28" s="187">
        <v>433059.3762728219</v>
      </c>
      <c r="S28" s="188">
        <f t="shared" si="25"/>
        <v>0.37393120604793906</v>
      </c>
      <c r="T28" s="187">
        <v>77991.25899999999</v>
      </c>
      <c r="U28" s="188">
        <f t="shared" si="25"/>
        <v>0.05800473470442641</v>
      </c>
      <c r="V28" s="164">
        <f t="shared" si="20"/>
        <v>4927548.749224804</v>
      </c>
      <c r="W28" s="188">
        <f t="shared" si="26"/>
        <v>0.2711334238699988</v>
      </c>
      <c r="X28" s="195"/>
    </row>
    <row r="29" spans="1:24" ht="15" customHeight="1" thickBot="1">
      <c r="A29" s="191" t="s">
        <v>2037</v>
      </c>
      <c r="B29" s="187">
        <v>631772.321238</v>
      </c>
      <c r="C29" s="188">
        <f t="shared" si="21"/>
        <v>0.003709696653315259</v>
      </c>
      <c r="D29" s="187">
        <v>678287.201</v>
      </c>
      <c r="E29" s="188">
        <f t="shared" si="22"/>
        <v>0.0031969092074838564</v>
      </c>
      <c r="F29" s="187">
        <v>101773.7123</v>
      </c>
      <c r="G29" s="188">
        <f t="shared" si="27"/>
        <v>0.0007537369842796535</v>
      </c>
      <c r="H29" s="187">
        <v>779316.0160000001</v>
      </c>
      <c r="I29" s="188">
        <f t="shared" si="23"/>
        <v>0.005135528819943604</v>
      </c>
      <c r="J29" s="187">
        <v>826112.3853016811</v>
      </c>
      <c r="K29" s="188">
        <f t="shared" si="24"/>
        <v>0.006023037090131196</v>
      </c>
      <c r="L29" s="187">
        <v>270104.87919133634</v>
      </c>
      <c r="M29" s="188">
        <f t="shared" si="25"/>
        <v>0.002551888477828996</v>
      </c>
      <c r="N29" s="187">
        <v>122110.7234999999</v>
      </c>
      <c r="O29" s="188">
        <f t="shared" si="25"/>
        <v>0.0008766199470083094</v>
      </c>
      <c r="P29" s="187">
        <v>174069.82106034597</v>
      </c>
      <c r="Q29" s="188">
        <f t="shared" si="25"/>
        <v>0.0009904845046807141</v>
      </c>
      <c r="R29" s="187">
        <v>408337.9933089043</v>
      </c>
      <c r="S29" s="188">
        <f t="shared" si="25"/>
        <v>0.0031457609343783026</v>
      </c>
      <c r="T29" s="187">
        <v>162114.408</v>
      </c>
      <c r="U29" s="188">
        <f t="shared" si="25"/>
        <v>0.0013185861894023424</v>
      </c>
      <c r="V29" s="164">
        <f t="shared" si="20"/>
        <v>4153999.460900267</v>
      </c>
      <c r="W29" s="188">
        <f t="shared" si="26"/>
        <v>0.002806675506982859</v>
      </c>
      <c r="X29" s="195"/>
    </row>
    <row r="30" spans="1:24" ht="15" customHeight="1" thickBot="1">
      <c r="A30" s="191" t="s">
        <v>2038</v>
      </c>
      <c r="B30" s="187">
        <v>1519366.05053</v>
      </c>
      <c r="C30" s="188">
        <f t="shared" si="21"/>
        <v>0.17688836684648615</v>
      </c>
      <c r="D30" s="187">
        <v>1629365.9431</v>
      </c>
      <c r="E30" s="188">
        <f t="shared" si="22"/>
        <v>0.15560581963580075</v>
      </c>
      <c r="F30" s="187">
        <v>305.99759</v>
      </c>
      <c r="G30" s="188">
        <f t="shared" si="27"/>
        <v>4.229840657355079E-05</v>
      </c>
      <c r="H30" s="187">
        <v>725896.59</v>
      </c>
      <c r="I30" s="188">
        <f t="shared" si="23"/>
        <v>0.1052524444564781</v>
      </c>
      <c r="J30" s="196">
        <v>4930473.516013979</v>
      </c>
      <c r="K30" s="188">
        <f t="shared" si="24"/>
        <v>0.49446526100493965</v>
      </c>
      <c r="L30" s="187">
        <v>4933232.431014647</v>
      </c>
      <c r="M30" s="188">
        <f t="shared" si="25"/>
        <v>0.7150647451686257</v>
      </c>
      <c r="N30" s="187">
        <v>6161536.667599999</v>
      </c>
      <c r="O30" s="188">
        <f t="shared" si="25"/>
        <v>0.7519505569025192</v>
      </c>
      <c r="P30" s="187">
        <v>6179951.280493921</v>
      </c>
      <c r="Q30" s="188">
        <f t="shared" si="25"/>
        <v>0.6674330998674358</v>
      </c>
      <c r="R30" s="187">
        <v>5092922.173386293</v>
      </c>
      <c r="S30" s="188">
        <f t="shared" si="25"/>
        <v>0.47356480708449905</v>
      </c>
      <c r="T30" s="187">
        <v>5650464.480000003</v>
      </c>
      <c r="U30" s="188">
        <f t="shared" si="25"/>
        <v>0.632665549271181</v>
      </c>
      <c r="V30" s="164">
        <f t="shared" si="20"/>
        <v>36823515.12972884</v>
      </c>
      <c r="W30" s="188">
        <f t="shared" si="26"/>
        <v>0.4222840789464646</v>
      </c>
      <c r="X30" s="195"/>
    </row>
    <row r="31" spans="1:23" ht="15" customHeight="1" thickBot="1">
      <c r="A31" s="198" t="s">
        <v>2041</v>
      </c>
      <c r="B31" s="184">
        <f>18601.388018</f>
        <v>18601.388018</v>
      </c>
      <c r="C31" s="199">
        <f>B31/B$4</f>
        <v>9.865536314038369E-05</v>
      </c>
      <c r="D31" s="184">
        <f>30122.7482</f>
        <v>30122.7482</v>
      </c>
      <c r="E31" s="199">
        <f>D31/D$4</f>
        <v>0.00013172340567352384</v>
      </c>
      <c r="F31" s="184">
        <v>18914.34041</v>
      </c>
      <c r="G31" s="199">
        <f>F31/F$4</f>
        <v>0.0001291988258032138</v>
      </c>
      <c r="H31" s="184">
        <v>35411.265</v>
      </c>
      <c r="I31" s="199">
        <f>H31/H$4</f>
        <v>0.00021359265072696873</v>
      </c>
      <c r="J31" s="184">
        <v>37625.40175005966</v>
      </c>
      <c r="K31" s="199">
        <f>J31/J$4</f>
        <v>0.00024919404418510837</v>
      </c>
      <c r="L31" s="184">
        <v>23898.07970627352</v>
      </c>
      <c r="M31" s="199">
        <f>L31/L$4</f>
        <v>0.00020595799611809187</v>
      </c>
      <c r="N31" s="442">
        <v>55252.007</v>
      </c>
      <c r="O31" s="199">
        <f>N31/N$4</f>
        <v>0.00036911703707289556</v>
      </c>
      <c r="P31" s="442">
        <v>126040.29390564606</v>
      </c>
      <c r="Q31" s="199">
        <f>P31/P$4</f>
        <v>0.0006688512333414241</v>
      </c>
      <c r="R31" s="442">
        <v>42405.97441701312</v>
      </c>
      <c r="S31" s="199">
        <f>R31/R$4</f>
        <v>0.00028982371965210373</v>
      </c>
      <c r="T31" s="161">
        <v>55534.376000000004</v>
      </c>
      <c r="U31" s="199">
        <f>T31/T$4</f>
        <v>0.0004056050912943359</v>
      </c>
      <c r="V31" s="161">
        <f t="shared" si="20"/>
        <v>443805.87440699234</v>
      </c>
      <c r="W31" s="199">
        <f>V31/V$4</f>
        <v>0.0002743263192824191</v>
      </c>
    </row>
    <row r="32" spans="1:24" ht="15" customHeight="1" thickBot="1">
      <c r="A32" s="186" t="s">
        <v>2969</v>
      </c>
      <c r="B32" s="197" t="s">
        <v>1980</v>
      </c>
      <c r="C32" s="200" t="s">
        <v>1980</v>
      </c>
      <c r="D32" s="197" t="s">
        <v>1980</v>
      </c>
      <c r="E32" s="200" t="s">
        <v>1980</v>
      </c>
      <c r="F32" s="197" t="s">
        <v>1980</v>
      </c>
      <c r="G32" s="200" t="s">
        <v>1980</v>
      </c>
      <c r="H32" s="197" t="s">
        <v>1980</v>
      </c>
      <c r="I32" s="200" t="s">
        <v>1980</v>
      </c>
      <c r="J32" s="197" t="s">
        <v>1980</v>
      </c>
      <c r="K32" s="200" t="s">
        <v>1980</v>
      </c>
      <c r="L32" s="197" t="s">
        <v>1980</v>
      </c>
      <c r="M32" s="197" t="s">
        <v>1980</v>
      </c>
      <c r="N32" s="197" t="s">
        <v>1980</v>
      </c>
      <c r="O32" s="197" t="s">
        <v>1980</v>
      </c>
      <c r="P32" s="197" t="s">
        <v>1980</v>
      </c>
      <c r="Q32" s="197" t="s">
        <v>1980</v>
      </c>
      <c r="R32" s="450">
        <v>419.704</v>
      </c>
      <c r="S32" s="194">
        <f>R32/R5</f>
        <v>3.2836919125849596E-06</v>
      </c>
      <c r="T32" s="197" t="s">
        <v>1980</v>
      </c>
      <c r="U32" s="197" t="s">
        <v>1980</v>
      </c>
      <c r="V32" s="164">
        <f aca="true" t="shared" si="28" ref="V32:V39">SUM(B32,D32,F32,H32,J32,L32,N32,P32,R32,T32)</f>
        <v>419.704</v>
      </c>
      <c r="W32" s="194">
        <f>V32/V5</f>
        <v>2.889208773024468E-07</v>
      </c>
      <c r="X32" s="195"/>
    </row>
    <row r="33" spans="1:24" ht="25.5" customHeight="1" thickBot="1">
      <c r="A33" s="186" t="s">
        <v>2033</v>
      </c>
      <c r="B33" s="196">
        <v>114.6816</v>
      </c>
      <c r="C33" s="194">
        <f>B33/B6</f>
        <v>0.002955044146073873</v>
      </c>
      <c r="D33" s="196">
        <v>6.815</v>
      </c>
      <c r="E33" s="194">
        <f>D33/D6</f>
        <v>8.943517747129482E-05</v>
      </c>
      <c r="F33" s="201" t="s">
        <v>1980</v>
      </c>
      <c r="G33" s="202" t="s">
        <v>1980</v>
      </c>
      <c r="H33" s="201" t="s">
        <v>1980</v>
      </c>
      <c r="I33" s="202" t="s">
        <v>1980</v>
      </c>
      <c r="J33" s="197" t="s">
        <v>1980</v>
      </c>
      <c r="K33" s="200" t="s">
        <v>1980</v>
      </c>
      <c r="L33" s="197" t="s">
        <v>1980</v>
      </c>
      <c r="M33" s="197" t="s">
        <v>1980</v>
      </c>
      <c r="N33" s="197" t="s">
        <v>1980</v>
      </c>
      <c r="O33" s="197" t="s">
        <v>1980</v>
      </c>
      <c r="P33" s="197" t="s">
        <v>1980</v>
      </c>
      <c r="Q33" s="197" t="s">
        <v>1980</v>
      </c>
      <c r="R33" s="450">
        <v>795.0548896650546</v>
      </c>
      <c r="S33" s="194">
        <f>R33/R6</f>
        <v>0.05843618939772835</v>
      </c>
      <c r="T33" s="197" t="s">
        <v>1980</v>
      </c>
      <c r="U33" s="197" t="s">
        <v>1980</v>
      </c>
      <c r="V33" s="164">
        <f t="shared" si="28"/>
        <v>916.5514896650545</v>
      </c>
      <c r="W33" s="194">
        <f>V33/V6</f>
        <v>0.0024025051951787105</v>
      </c>
      <c r="X33" s="195"/>
    </row>
    <row r="34" spans="1:24" ht="25.5" customHeight="1" thickBot="1">
      <c r="A34" s="186" t="s">
        <v>2034</v>
      </c>
      <c r="B34" s="196">
        <v>84.882384</v>
      </c>
      <c r="C34" s="194">
        <f>B34/B7</f>
        <v>5.047279949165414E-05</v>
      </c>
      <c r="D34" s="196">
        <v>370.1345</v>
      </c>
      <c r="E34" s="194">
        <f>D34/D7</f>
        <v>0.0003773316271229793</v>
      </c>
      <c r="F34" s="196">
        <v>684.71027</v>
      </c>
      <c r="G34" s="194">
        <f>F34/F7</f>
        <v>0.0008317733687245099</v>
      </c>
      <c r="H34" s="187">
        <v>1919.2</v>
      </c>
      <c r="I34" s="194">
        <f>H34/H7</f>
        <v>0.0026257813573923646</v>
      </c>
      <c r="J34" s="187">
        <v>2348.644457768681</v>
      </c>
      <c r="K34" s="194">
        <f>J34/J7</f>
        <v>0.0040027000899420274</v>
      </c>
      <c r="L34" s="187">
        <v>1515.9845475530294</v>
      </c>
      <c r="M34" s="194">
        <f>L34/L7</f>
        <v>0.006111296743345268</v>
      </c>
      <c r="N34" s="187">
        <v>1193.1509999999998</v>
      </c>
      <c r="O34" s="194">
        <f>N34/N7</f>
        <v>0.004186486147788364</v>
      </c>
      <c r="P34" s="187">
        <v>1894.5589806917715</v>
      </c>
      <c r="Q34" s="194">
        <f>P34/P7</f>
        <v>0.0017679427441156391</v>
      </c>
      <c r="R34" s="187">
        <v>2733.142</v>
      </c>
      <c r="S34" s="194">
        <f>R34/R7</f>
        <v>0.002597190272650707</v>
      </c>
      <c r="T34" s="187">
        <v>5920.802</v>
      </c>
      <c r="U34" s="194">
        <f>T34/T7</f>
        <v>0.005685477212582947</v>
      </c>
      <c r="V34" s="164">
        <f t="shared" si="28"/>
        <v>18665.21014001348</v>
      </c>
      <c r="W34" s="194">
        <f>V34/V7</f>
        <v>0.00219540258524984</v>
      </c>
      <c r="X34" s="195"/>
    </row>
    <row r="35" spans="1:24" ht="36.75" customHeight="1" thickBot="1">
      <c r="A35" s="186" t="s">
        <v>2035</v>
      </c>
      <c r="B35" s="203" t="s">
        <v>1980</v>
      </c>
      <c r="C35" s="200" t="s">
        <v>1980</v>
      </c>
      <c r="D35" s="197" t="s">
        <v>1980</v>
      </c>
      <c r="E35" s="200" t="s">
        <v>1980</v>
      </c>
      <c r="F35" s="197" t="s">
        <v>1980</v>
      </c>
      <c r="G35" s="200" t="s">
        <v>1980</v>
      </c>
      <c r="H35" s="197" t="s">
        <v>1980</v>
      </c>
      <c r="I35" s="200" t="s">
        <v>1980</v>
      </c>
      <c r="J35" s="197" t="s">
        <v>1980</v>
      </c>
      <c r="K35" s="200" t="s">
        <v>1980</v>
      </c>
      <c r="L35" s="197" t="s">
        <v>1980</v>
      </c>
      <c r="M35" s="200" t="s">
        <v>1980</v>
      </c>
      <c r="N35" s="197" t="s">
        <v>1980</v>
      </c>
      <c r="O35" s="197" t="s">
        <v>1980</v>
      </c>
      <c r="P35" s="197" t="s">
        <v>1980</v>
      </c>
      <c r="Q35" s="197" t="s">
        <v>1980</v>
      </c>
      <c r="R35" s="197" t="s">
        <v>1980</v>
      </c>
      <c r="S35" s="197" t="s">
        <v>1980</v>
      </c>
      <c r="T35" s="197" t="s">
        <v>1980</v>
      </c>
      <c r="U35" s="197" t="s">
        <v>1980</v>
      </c>
      <c r="V35" s="197" t="s">
        <v>1980</v>
      </c>
      <c r="W35" s="197" t="s">
        <v>1980</v>
      </c>
      <c r="X35" s="195"/>
    </row>
    <row r="36" spans="1:24" ht="15" customHeight="1" thickBot="1">
      <c r="A36" s="186" t="s">
        <v>929</v>
      </c>
      <c r="B36" s="203" t="s">
        <v>1980</v>
      </c>
      <c r="C36" s="200" t="s">
        <v>1980</v>
      </c>
      <c r="D36" s="197" t="s">
        <v>1980</v>
      </c>
      <c r="E36" s="200" t="s">
        <v>1980</v>
      </c>
      <c r="F36" s="197" t="s">
        <v>1980</v>
      </c>
      <c r="G36" s="200" t="s">
        <v>1980</v>
      </c>
      <c r="H36" s="197" t="s">
        <v>1980</v>
      </c>
      <c r="I36" s="200" t="s">
        <v>1980</v>
      </c>
      <c r="J36" s="197" t="s">
        <v>1980</v>
      </c>
      <c r="K36" s="200" t="s">
        <v>1980</v>
      </c>
      <c r="L36" s="455">
        <v>2.7</v>
      </c>
      <c r="M36" s="194">
        <f>L36/L9</f>
        <v>2.645477424473431E-06</v>
      </c>
      <c r="N36" s="197" t="s">
        <v>1980</v>
      </c>
      <c r="O36" s="197" t="s">
        <v>1980</v>
      </c>
      <c r="P36" s="197" t="s">
        <v>1980</v>
      </c>
      <c r="Q36" s="197" t="s">
        <v>1980</v>
      </c>
      <c r="R36" s="187">
        <v>5743.206226481519</v>
      </c>
      <c r="S36" s="194">
        <f>R36/R9</f>
        <v>0.0031477143174450193</v>
      </c>
      <c r="T36" s="197" t="s">
        <v>1980</v>
      </c>
      <c r="U36" s="197" t="s">
        <v>1980</v>
      </c>
      <c r="V36" s="164">
        <f t="shared" si="28"/>
        <v>5745.906226481518</v>
      </c>
      <c r="W36" s="194">
        <f>V36/V9</f>
        <v>0.00025514275238682323</v>
      </c>
      <c r="X36" s="195"/>
    </row>
    <row r="37" spans="1:24" ht="15" customHeight="1" thickBot="1">
      <c r="A37" s="191" t="s">
        <v>2036</v>
      </c>
      <c r="B37" s="203" t="s">
        <v>1980</v>
      </c>
      <c r="C37" s="200" t="s">
        <v>1980</v>
      </c>
      <c r="D37" s="197" t="s">
        <v>1980</v>
      </c>
      <c r="E37" s="200" t="s">
        <v>1980</v>
      </c>
      <c r="F37" s="203" t="s">
        <v>1980</v>
      </c>
      <c r="G37" s="200" t="s">
        <v>1980</v>
      </c>
      <c r="H37" s="203" t="s">
        <v>1980</v>
      </c>
      <c r="I37" s="200" t="s">
        <v>1980</v>
      </c>
      <c r="J37" s="203" t="s">
        <v>1980</v>
      </c>
      <c r="K37" s="200" t="s">
        <v>1980</v>
      </c>
      <c r="L37" s="203" t="s">
        <v>1980</v>
      </c>
      <c r="M37" s="200" t="s">
        <v>1980</v>
      </c>
      <c r="N37" s="197" t="s">
        <v>1980</v>
      </c>
      <c r="O37" s="197" t="s">
        <v>1980</v>
      </c>
      <c r="P37" s="197" t="s">
        <v>1980</v>
      </c>
      <c r="Q37" s="197" t="s">
        <v>1980</v>
      </c>
      <c r="R37" s="197" t="s">
        <v>1980</v>
      </c>
      <c r="S37" s="197" t="s">
        <v>1980</v>
      </c>
      <c r="T37" s="455" t="s">
        <v>1980</v>
      </c>
      <c r="U37" s="197" t="s">
        <v>1980</v>
      </c>
      <c r="V37" s="197" t="s">
        <v>1980</v>
      </c>
      <c r="W37" s="197" t="s">
        <v>1980</v>
      </c>
      <c r="X37" s="195"/>
    </row>
    <row r="38" spans="1:24" ht="15" customHeight="1" thickBot="1">
      <c r="A38" s="191" t="s">
        <v>2037</v>
      </c>
      <c r="B38" s="187">
        <v>2494.8</v>
      </c>
      <c r="C38" s="194">
        <f>B38/B11</f>
        <v>1.4649187530968776E-05</v>
      </c>
      <c r="D38" s="197" t="s">
        <v>1980</v>
      </c>
      <c r="E38" s="200" t="s">
        <v>1980</v>
      </c>
      <c r="F38" s="196">
        <v>711.26618</v>
      </c>
      <c r="G38" s="194">
        <f aca="true" t="shared" si="29" ref="E38:G39">F38/F11</f>
        <v>5.267643416140861E-06</v>
      </c>
      <c r="H38" s="203" t="s">
        <v>1980</v>
      </c>
      <c r="I38" s="200" t="s">
        <v>1980</v>
      </c>
      <c r="J38" s="203" t="s">
        <v>1980</v>
      </c>
      <c r="K38" s="200" t="s">
        <v>1980</v>
      </c>
      <c r="L38" s="203">
        <v>31.50310130944176</v>
      </c>
      <c r="M38" s="194">
        <f>L38/L11</f>
        <v>2.97634020859341E-07</v>
      </c>
      <c r="N38" s="197" t="s">
        <v>1980</v>
      </c>
      <c r="O38" s="197" t="s">
        <v>1980</v>
      </c>
      <c r="P38" s="197" t="s">
        <v>1980</v>
      </c>
      <c r="Q38" s="197" t="s">
        <v>1980</v>
      </c>
      <c r="R38" s="455">
        <v>297.865</v>
      </c>
      <c r="S38" s="194">
        <f>R38/R11</f>
        <v>2.2946972754743187E-06</v>
      </c>
      <c r="T38" s="187">
        <v>1161.349</v>
      </c>
      <c r="U38" s="194">
        <f>T38/T11</f>
        <v>9.44603734713216E-06</v>
      </c>
      <c r="V38" s="164">
        <f t="shared" si="28"/>
        <v>4696.783281309442</v>
      </c>
      <c r="W38" s="194">
        <f>V38/V11</f>
        <v>3.173410762648697E-06</v>
      </c>
      <c r="X38" s="195"/>
    </row>
    <row r="39" spans="1:24" ht="15" customHeight="1" thickBot="1">
      <c r="A39" s="191" t="s">
        <v>2038</v>
      </c>
      <c r="B39" s="187">
        <v>1397.440384</v>
      </c>
      <c r="C39" s="194">
        <f>B39/B12</f>
        <v>0.00016269347811533565</v>
      </c>
      <c r="D39" s="196">
        <v>797.1342</v>
      </c>
      <c r="E39" s="194">
        <f t="shared" si="29"/>
        <v>7.612698735726281E-05</v>
      </c>
      <c r="F39" s="196">
        <v>675.354</v>
      </c>
      <c r="G39" s="194">
        <f t="shared" si="29"/>
        <v>9.335497731558546E-05</v>
      </c>
      <c r="H39" s="187">
        <v>1092.02</v>
      </c>
      <c r="I39" s="194">
        <f>H39/H12</f>
        <v>0.00015833904715734128</v>
      </c>
      <c r="J39" s="196">
        <v>941.14</v>
      </c>
      <c r="K39" s="194">
        <f>J39/J12</f>
        <v>9.438465377224216E-05</v>
      </c>
      <c r="L39" s="196">
        <v>567.3065300152504</v>
      </c>
      <c r="M39" s="194">
        <f>L39/L12</f>
        <v>8.223024254189006E-05</v>
      </c>
      <c r="N39" s="450">
        <v>999.028</v>
      </c>
      <c r="O39" s="194"/>
      <c r="P39" s="187">
        <v>1318.207962962963</v>
      </c>
      <c r="Q39" s="194"/>
      <c r="R39" s="187">
        <v>2162.02</v>
      </c>
      <c r="S39" s="194">
        <f>R39/R12</f>
        <v>0.00020103519145906455</v>
      </c>
      <c r="T39" s="187">
        <v>1079.786</v>
      </c>
      <c r="U39" s="194">
        <f>T39/T12</f>
        <v>0.00012090039769355936</v>
      </c>
      <c r="V39" s="164">
        <f t="shared" si="28"/>
        <v>11029.437076978214</v>
      </c>
      <c r="W39" s="194">
        <f>V39/V12</f>
        <v>0.00012648319045428482</v>
      </c>
      <c r="X39" s="195"/>
    </row>
    <row r="40" spans="1:23" ht="3.75" customHeight="1" thickBot="1">
      <c r="A40" s="186"/>
      <c r="B40" s="197"/>
      <c r="C40" s="188"/>
      <c r="D40" s="197"/>
      <c r="E40" s="188"/>
      <c r="F40" s="201"/>
      <c r="G40" s="188"/>
      <c r="H40" s="201"/>
      <c r="I40" s="188"/>
      <c r="J40" s="201"/>
      <c r="K40" s="188"/>
      <c r="L40" s="201"/>
      <c r="M40" s="188"/>
      <c r="N40" s="188"/>
      <c r="O40" s="188"/>
      <c r="P40" s="188"/>
      <c r="Q40" s="188"/>
      <c r="R40" s="188"/>
      <c r="S40" s="188"/>
      <c r="T40" s="188"/>
      <c r="U40" s="188"/>
      <c r="V40" s="201"/>
      <c r="W40" s="188"/>
    </row>
    <row r="41" spans="1:23" ht="15" customHeight="1" thickBot="1">
      <c r="A41" s="183" t="s">
        <v>2042</v>
      </c>
      <c r="B41" s="184">
        <f>526079.4446495</f>
        <v>526079.4446495</v>
      </c>
      <c r="C41" s="185">
        <v>1</v>
      </c>
      <c r="D41" s="184">
        <f>1106694.11642</f>
        <v>1106694.11642</v>
      </c>
      <c r="E41" s="185">
        <v>1</v>
      </c>
      <c r="F41" s="184">
        <v>857875.35346</v>
      </c>
      <c r="G41" s="185">
        <v>1</v>
      </c>
      <c r="H41" s="184">
        <v>816766.9619999998</v>
      </c>
      <c r="I41" s="185">
        <v>1</v>
      </c>
      <c r="J41" s="184">
        <v>13042680.486851571</v>
      </c>
      <c r="K41" s="185">
        <v>1</v>
      </c>
      <c r="L41" s="184">
        <v>13154165.57613</v>
      </c>
      <c r="M41" s="185">
        <v>1</v>
      </c>
      <c r="N41" s="184">
        <v>13580388.784460003</v>
      </c>
      <c r="O41" s="185">
        <v>1</v>
      </c>
      <c r="P41" s="184">
        <v>15381902.128060002</v>
      </c>
      <c r="Q41" s="185">
        <v>1</v>
      </c>
      <c r="R41" s="184">
        <v>13426882.418860005</v>
      </c>
      <c r="S41" s="185">
        <v>1</v>
      </c>
      <c r="T41" s="184">
        <v>12518660.365985999</v>
      </c>
      <c r="U41" s="185">
        <v>1</v>
      </c>
      <c r="V41" s="161">
        <f>SUM(B41,D41,F41,H41,J41,L41,N41,P41,R41,T41)</f>
        <v>84412095.63687709</v>
      </c>
      <c r="W41" s="185">
        <v>1</v>
      </c>
    </row>
    <row r="42" spans="1:23" ht="15" customHeight="1" thickBot="1">
      <c r="A42" s="186" t="s">
        <v>2969</v>
      </c>
      <c r="B42" s="187">
        <f>767.75665</f>
        <v>767.75665</v>
      </c>
      <c r="C42" s="188">
        <f>B42/B$41</f>
        <v>0.0014593929829581488</v>
      </c>
      <c r="D42" s="187">
        <f>117347.1427</f>
        <v>117347.1427</v>
      </c>
      <c r="E42" s="188">
        <f>D42/D$41</f>
        <v>0.10603394466359098</v>
      </c>
      <c r="F42" s="187">
        <v>39535.174999999996</v>
      </c>
      <c r="G42" s="188">
        <f aca="true" t="shared" si="30" ref="G42:G50">F42/F$41</f>
        <v>0.04608498756905177</v>
      </c>
      <c r="H42" s="187">
        <v>57645.741</v>
      </c>
      <c r="I42" s="188">
        <f aca="true" t="shared" si="31" ref="I42:I50">H42/H$41</f>
        <v>0.07057795391092228</v>
      </c>
      <c r="J42" s="187">
        <v>12279833.152999995</v>
      </c>
      <c r="K42" s="188">
        <f aca="true" t="shared" si="32" ref="K42:K50">J42/J$41</f>
        <v>0.9415114604225252</v>
      </c>
      <c r="L42" s="187">
        <v>12446279.954</v>
      </c>
      <c r="M42" s="188">
        <f aca="true" t="shared" si="33" ref="M42:O50">L42/L$41</f>
        <v>0.9461854407994867</v>
      </c>
      <c r="N42" s="187">
        <v>12933993.832900003</v>
      </c>
      <c r="O42" s="188">
        <f t="shared" si="33"/>
        <v>0.9524023235402754</v>
      </c>
      <c r="P42" s="187">
        <v>15179742.05313</v>
      </c>
      <c r="Q42" s="188">
        <f aca="true" t="shared" si="34" ref="Q42:Q50">P42/P$41</f>
        <v>0.9868572772569385</v>
      </c>
      <c r="R42" s="187">
        <v>13267659.900700007</v>
      </c>
      <c r="S42" s="188">
        <f aca="true" t="shared" si="35" ref="S42:U48">R42/R$41</f>
        <v>0.9881415124380364</v>
      </c>
      <c r="T42" s="187">
        <v>12395183.18903</v>
      </c>
      <c r="U42" s="188">
        <f t="shared" si="35"/>
        <v>0.9901365502900378</v>
      </c>
      <c r="V42" s="164">
        <f aca="true" t="shared" si="36" ref="V42:V49">SUM(B42,D42,F42,H42,J42,L42,N42,P42,R42,T42)</f>
        <v>78717987.89811</v>
      </c>
      <c r="W42" s="188">
        <f aca="true" t="shared" si="37" ref="W42:W50">V42/V$41</f>
        <v>0.9325439358446693</v>
      </c>
    </row>
    <row r="43" spans="1:23" ht="25.5" customHeight="1" thickBot="1">
      <c r="A43" s="186" t="s">
        <v>2033</v>
      </c>
      <c r="B43" s="187">
        <v>78117.204929</v>
      </c>
      <c r="C43" s="188">
        <f aca="true" t="shared" si="38" ref="C43:E49">B43/B$41</f>
        <v>0.1484893692834654</v>
      </c>
      <c r="D43" s="187">
        <v>103693.718</v>
      </c>
      <c r="E43" s="188">
        <f t="shared" si="38"/>
        <v>0.09369681871575734</v>
      </c>
      <c r="F43" s="187">
        <v>82622.117</v>
      </c>
      <c r="G43" s="188">
        <f t="shared" si="30"/>
        <v>0.09631016518514819</v>
      </c>
      <c r="H43" s="187">
        <v>64728.634999999995</v>
      </c>
      <c r="I43" s="188">
        <f t="shared" si="31"/>
        <v>0.07924982034226796</v>
      </c>
      <c r="J43" s="187">
        <v>67596.85800000001</v>
      </c>
      <c r="K43" s="188">
        <f t="shared" si="32"/>
        <v>0.005182742770410188</v>
      </c>
      <c r="L43" s="187">
        <v>21353.837599999995</v>
      </c>
      <c r="M43" s="188">
        <f t="shared" si="33"/>
        <v>0.001623351741804847</v>
      </c>
      <c r="N43" s="187">
        <v>8742.22371</v>
      </c>
      <c r="O43" s="188">
        <f t="shared" si="33"/>
        <v>0.0006437388390532456</v>
      </c>
      <c r="P43" s="187">
        <v>17785.780690000003</v>
      </c>
      <c r="Q43" s="188">
        <f t="shared" si="34"/>
        <v>0.0011562796682703365</v>
      </c>
      <c r="R43" s="187">
        <v>20012.858819999998</v>
      </c>
      <c r="S43" s="188">
        <f t="shared" si="35"/>
        <v>0.001490506745772126</v>
      </c>
      <c r="T43" s="187">
        <v>21625.309155000003</v>
      </c>
      <c r="U43" s="188">
        <f t="shared" si="35"/>
        <v>0.0017274459505074002</v>
      </c>
      <c r="V43" s="164">
        <f t="shared" si="36"/>
        <v>486278.542904</v>
      </c>
      <c r="W43" s="188">
        <f t="shared" si="37"/>
        <v>0.00576076851587558</v>
      </c>
    </row>
    <row r="44" spans="1:23" ht="25.5" customHeight="1" thickBot="1">
      <c r="A44" s="186" t="s">
        <v>2034</v>
      </c>
      <c r="B44" s="187">
        <v>337989.33785</v>
      </c>
      <c r="C44" s="188">
        <f t="shared" si="38"/>
        <v>0.6424682455996454</v>
      </c>
      <c r="D44" s="187">
        <v>854625.811</v>
      </c>
      <c r="E44" s="188">
        <f t="shared" si="38"/>
        <v>0.7722330843906484</v>
      </c>
      <c r="F44" s="187">
        <v>694556.5449999999</v>
      </c>
      <c r="G44" s="188">
        <f t="shared" si="30"/>
        <v>0.8096240813991223</v>
      </c>
      <c r="H44" s="187">
        <v>658972.314</v>
      </c>
      <c r="I44" s="188">
        <f t="shared" si="31"/>
        <v>0.8068057899726852</v>
      </c>
      <c r="J44" s="187">
        <v>657174.1949999998</v>
      </c>
      <c r="K44" s="188">
        <f t="shared" si="32"/>
        <v>0.05038643671923899</v>
      </c>
      <c r="L44" s="187">
        <v>647055.0889000001</v>
      </c>
      <c r="M44" s="188">
        <f t="shared" si="33"/>
        <v>0.04919012803626012</v>
      </c>
      <c r="N44" s="187">
        <v>591969.0875399999</v>
      </c>
      <c r="O44" s="188">
        <f t="shared" si="33"/>
        <v>0.04358999561318806</v>
      </c>
      <c r="P44" s="187">
        <v>148016.72781999997</v>
      </c>
      <c r="Q44" s="188">
        <f t="shared" si="34"/>
        <v>0.009622784398685299</v>
      </c>
      <c r="R44" s="187">
        <v>106320.48668999979</v>
      </c>
      <c r="S44" s="188">
        <f t="shared" si="35"/>
        <v>0.0079184790164437</v>
      </c>
      <c r="T44" s="187">
        <v>67020.67700000001</v>
      </c>
      <c r="U44" s="188">
        <f t="shared" si="35"/>
        <v>0.0053536620565327805</v>
      </c>
      <c r="V44" s="164">
        <f t="shared" si="36"/>
        <v>4763700.270799999</v>
      </c>
      <c r="W44" s="188">
        <f t="shared" si="37"/>
        <v>0.05643385861775575</v>
      </c>
    </row>
    <row r="45" spans="1:23" ht="36.75" customHeight="1" thickBot="1">
      <c r="A45" s="186" t="s">
        <v>2035</v>
      </c>
      <c r="B45" s="187">
        <v>2493.07713</v>
      </c>
      <c r="C45" s="188">
        <f t="shared" si="38"/>
        <v>0.004738974608029042</v>
      </c>
      <c r="D45" s="187">
        <v>1115.9217</v>
      </c>
      <c r="E45" s="188">
        <f t="shared" si="38"/>
        <v>0.0010083379711187496</v>
      </c>
      <c r="F45" s="187">
        <v>2192.2528</v>
      </c>
      <c r="G45" s="188">
        <f t="shared" si="30"/>
        <v>0.0025554444374210803</v>
      </c>
      <c r="H45" s="187">
        <v>4909.021</v>
      </c>
      <c r="I45" s="188">
        <f t="shared" si="31"/>
        <v>0.0060103079928445985</v>
      </c>
      <c r="J45" s="187">
        <v>1981.5209999999995</v>
      </c>
      <c r="K45" s="188">
        <f t="shared" si="32"/>
        <v>0.00015192590219453636</v>
      </c>
      <c r="L45" s="187">
        <v>2392.145860000002</v>
      </c>
      <c r="M45" s="188">
        <f t="shared" si="33"/>
        <v>0.00018185462590959565</v>
      </c>
      <c r="N45" s="187">
        <v>7369.028430000005</v>
      </c>
      <c r="O45" s="188">
        <f t="shared" si="33"/>
        <v>0.0005426227884162168</v>
      </c>
      <c r="P45" s="187">
        <v>2111.46281</v>
      </c>
      <c r="Q45" s="188">
        <f t="shared" si="34"/>
        <v>0.0001372692916923599</v>
      </c>
      <c r="R45" s="187">
        <v>3166.340539999998</v>
      </c>
      <c r="S45" s="188">
        <f t="shared" si="35"/>
        <v>0.00023582097773883928</v>
      </c>
      <c r="T45" s="187">
        <v>1578.0862000000004</v>
      </c>
      <c r="U45" s="188">
        <f t="shared" si="35"/>
        <v>0.00012605871186407145</v>
      </c>
      <c r="V45" s="164">
        <f t="shared" si="36"/>
        <v>29308.857470000006</v>
      </c>
      <c r="W45" s="188">
        <f t="shared" si="37"/>
        <v>0.000347211584416533</v>
      </c>
    </row>
    <row r="46" spans="1:23" ht="15" customHeight="1" thickBot="1">
      <c r="A46" s="186" t="s">
        <v>929</v>
      </c>
      <c r="B46" s="187">
        <v>2118.91832</v>
      </c>
      <c r="C46" s="188">
        <f t="shared" si="38"/>
        <v>0.0040277534915125375</v>
      </c>
      <c r="D46" s="187">
        <v>23.842</v>
      </c>
      <c r="E46" s="188">
        <f t="shared" si="38"/>
        <v>2.154344154022027E-05</v>
      </c>
      <c r="F46" s="187">
        <v>56.367</v>
      </c>
      <c r="G46" s="188">
        <f t="shared" si="30"/>
        <v>6.570534958564725E-05</v>
      </c>
      <c r="H46" s="187">
        <v>35.064</v>
      </c>
      <c r="I46" s="188">
        <f t="shared" si="31"/>
        <v>4.293023791527945E-05</v>
      </c>
      <c r="J46" s="187">
        <v>952.9689999999996</v>
      </c>
      <c r="K46" s="188">
        <f t="shared" si="32"/>
        <v>7.306542554352191E-05</v>
      </c>
      <c r="L46" s="187">
        <v>239.54941000000014</v>
      </c>
      <c r="M46" s="188">
        <f t="shared" si="33"/>
        <v>1.821091642898997E-05</v>
      </c>
      <c r="N46" s="187">
        <v>639.9269199999995</v>
      </c>
      <c r="O46" s="188">
        <f t="shared" si="33"/>
        <v>4.712139911136167E-05</v>
      </c>
      <c r="P46" s="187">
        <v>117.73396000000012</v>
      </c>
      <c r="Q46" s="188">
        <f t="shared" si="34"/>
        <v>7.654057282371292E-06</v>
      </c>
      <c r="R46" s="187">
        <v>206.07839999999993</v>
      </c>
      <c r="S46" s="188">
        <f t="shared" si="35"/>
        <v>1.534819428451484E-05</v>
      </c>
      <c r="T46" s="187">
        <v>429.3781039999993</v>
      </c>
      <c r="U46" s="188">
        <f t="shared" si="35"/>
        <v>3.4299045700340835E-05</v>
      </c>
      <c r="V46" s="164">
        <f t="shared" si="36"/>
        <v>4819.827114</v>
      </c>
      <c r="W46" s="188">
        <f t="shared" si="37"/>
        <v>5.7098773317201746E-05</v>
      </c>
    </row>
    <row r="47" spans="1:23" ht="15" customHeight="1" thickBot="1">
      <c r="A47" s="191" t="s">
        <v>2037</v>
      </c>
      <c r="B47" s="187">
        <v>53778.771</v>
      </c>
      <c r="C47" s="188">
        <f t="shared" si="38"/>
        <v>0.10222556982021996</v>
      </c>
      <c r="D47" s="187">
        <v>13939.82</v>
      </c>
      <c r="E47" s="188">
        <f t="shared" si="38"/>
        <v>0.012595910462679027</v>
      </c>
      <c r="F47" s="187">
        <v>9473.711000000003</v>
      </c>
      <c r="G47" s="188">
        <f t="shared" si="30"/>
        <v>0.011043225524303086</v>
      </c>
      <c r="H47" s="187">
        <v>25944.96</v>
      </c>
      <c r="I47" s="188">
        <f t="shared" si="31"/>
        <v>0.03176543764266509</v>
      </c>
      <c r="J47" s="187">
        <v>12241799.937666507</v>
      </c>
      <c r="K47" s="188">
        <f t="shared" si="32"/>
        <v>0.9385954022263723</v>
      </c>
      <c r="L47" s="187">
        <v>12449138.9784</v>
      </c>
      <c r="M47" s="188">
        <f t="shared" si="33"/>
        <v>0.9464027882536794</v>
      </c>
      <c r="N47" s="187">
        <v>12937098.76455</v>
      </c>
      <c r="O47" s="188">
        <f t="shared" si="33"/>
        <v>0.9526309570278196</v>
      </c>
      <c r="P47" s="187">
        <v>15179490.754500002</v>
      </c>
      <c r="Q47" s="188">
        <f t="shared" si="34"/>
        <v>0.9868409399647162</v>
      </c>
      <c r="R47" s="187">
        <v>13268067.35465</v>
      </c>
      <c r="S47" s="188">
        <f t="shared" si="35"/>
        <v>0.9881718585703166</v>
      </c>
      <c r="T47" s="187">
        <v>12398008.4393</v>
      </c>
      <c r="U47" s="188">
        <f t="shared" si="35"/>
        <v>0.9903622334052757</v>
      </c>
      <c r="V47" s="164">
        <f t="shared" si="36"/>
        <v>78576741.49106652</v>
      </c>
      <c r="W47" s="188">
        <f t="shared" si="37"/>
        <v>0.9308706400216264</v>
      </c>
    </row>
    <row r="48" spans="1:23" ht="15" customHeight="1" thickBot="1">
      <c r="A48" s="191" t="s">
        <v>2038</v>
      </c>
      <c r="B48" s="187">
        <v>242475.99896</v>
      </c>
      <c r="C48" s="188">
        <f t="shared" si="38"/>
        <v>0.4609113726569367</v>
      </c>
      <c r="D48" s="187">
        <v>220545.054</v>
      </c>
      <c r="E48" s="188">
        <f t="shared" si="38"/>
        <v>0.19928275638930137</v>
      </c>
      <c r="F48" s="187">
        <v>212186.305</v>
      </c>
      <c r="G48" s="188">
        <f t="shared" si="30"/>
        <v>0.2473393181704148</v>
      </c>
      <c r="H48" s="187">
        <v>188703.76</v>
      </c>
      <c r="I48" s="188">
        <f t="shared" si="31"/>
        <v>0.23103745472016293</v>
      </c>
      <c r="J48" s="187">
        <v>142636.452</v>
      </c>
      <c r="K48" s="188">
        <f t="shared" si="32"/>
        <v>0.010936130202974221</v>
      </c>
      <c r="L48" s="187">
        <v>70948.33260000001</v>
      </c>
      <c r="M48" s="188">
        <f t="shared" si="33"/>
        <v>0.005393601911834323</v>
      </c>
      <c r="N48" s="187">
        <v>85637.35720000004</v>
      </c>
      <c r="O48" s="188">
        <f t="shared" si="33"/>
        <v>0.006305957698206299</v>
      </c>
      <c r="P48" s="187">
        <v>79254.09</v>
      </c>
      <c r="Q48" s="188">
        <f t="shared" si="34"/>
        <v>0.005152424540227893</v>
      </c>
      <c r="R48" s="187">
        <v>70205.71149999999</v>
      </c>
      <c r="S48" s="188">
        <f t="shared" si="35"/>
        <v>0.005228742556156288</v>
      </c>
      <c r="T48" s="187">
        <v>47027.9931</v>
      </c>
      <c r="U48" s="188">
        <f t="shared" si="35"/>
        <v>0.0037566314385984994</v>
      </c>
      <c r="V48" s="164">
        <f t="shared" si="36"/>
        <v>1359621.0543600002</v>
      </c>
      <c r="W48" s="188">
        <f t="shared" si="37"/>
        <v>0.016106945860090968</v>
      </c>
    </row>
    <row r="49" spans="1:23" ht="15" customHeight="1" thickBot="1">
      <c r="A49" s="190" t="s">
        <v>2043</v>
      </c>
      <c r="B49" s="187">
        <v>1261</v>
      </c>
      <c r="C49" s="188">
        <f t="shared" si="38"/>
        <v>0.0023969763746236853</v>
      </c>
      <c r="D49" s="187">
        <v>185</v>
      </c>
      <c r="E49" s="188">
        <f t="shared" si="38"/>
        <v>0.00016716452835084097</v>
      </c>
      <c r="F49" s="187">
        <v>578.445</v>
      </c>
      <c r="G49" s="188">
        <f t="shared" si="30"/>
        <v>0.0006742762776282173</v>
      </c>
      <c r="H49" s="187">
        <v>168.94</v>
      </c>
      <c r="I49" s="188">
        <f t="shared" si="31"/>
        <v>0.00020683990398720367</v>
      </c>
      <c r="J49" s="187">
        <v>517.69</v>
      </c>
      <c r="K49" s="188">
        <f t="shared" si="32"/>
        <v>3.96919943352049E-05</v>
      </c>
      <c r="L49" s="187">
        <v>1789.05</v>
      </c>
      <c r="M49" s="188">
        <f t="shared" si="33"/>
        <v>0.00013600634640379403</v>
      </c>
      <c r="N49" s="187">
        <v>1067.7</v>
      </c>
      <c r="O49" s="188">
        <f t="shared" si="33"/>
        <v>7.86207241151863E-05</v>
      </c>
      <c r="P49" s="187">
        <v>2087.05</v>
      </c>
      <c r="Q49" s="188">
        <f t="shared" si="34"/>
        <v>0.0001356821791365294</v>
      </c>
      <c r="R49" s="197" t="s">
        <v>1980</v>
      </c>
      <c r="S49" s="197" t="s">
        <v>1980</v>
      </c>
      <c r="T49" s="187">
        <v>427.613</v>
      </c>
      <c r="U49" s="197" t="s">
        <v>1980</v>
      </c>
      <c r="V49" s="164">
        <f t="shared" si="36"/>
        <v>8082.488</v>
      </c>
      <c r="W49" s="188">
        <f t="shared" si="37"/>
        <v>9.575035353664417E-05</v>
      </c>
    </row>
    <row r="50" spans="1:23" ht="15" customHeight="1" thickBot="1">
      <c r="A50" s="198" t="s">
        <v>2039</v>
      </c>
      <c r="B50" s="204" t="s">
        <v>1980</v>
      </c>
      <c r="C50" s="205"/>
      <c r="D50" s="184">
        <f>230823.96197</f>
        <v>230823.96197</v>
      </c>
      <c r="E50" s="193">
        <f>D50/D$41</f>
        <v>0.20857069586371624</v>
      </c>
      <c r="F50" s="184">
        <v>234473.5263</v>
      </c>
      <c r="G50" s="193">
        <f t="shared" si="30"/>
        <v>0.27331887476929684</v>
      </c>
      <c r="H50" s="184">
        <v>113929.30800000002</v>
      </c>
      <c r="I50" s="193">
        <f t="shared" si="31"/>
        <v>0.13948814447761668</v>
      </c>
      <c r="J50" s="184">
        <v>12451.56363254267</v>
      </c>
      <c r="K50" s="193">
        <f t="shared" si="32"/>
        <v>0.0009546782691713708</v>
      </c>
      <c r="L50" s="184">
        <v>38240.99793</v>
      </c>
      <c r="M50" s="193">
        <f t="shared" si="33"/>
        <v>0.0029071397732284457</v>
      </c>
      <c r="N50" s="184">
        <v>21262.990869999994</v>
      </c>
      <c r="O50" s="193">
        <f>N50/N$41</f>
        <v>0.0015657129709225387</v>
      </c>
      <c r="P50" s="184">
        <v>40764.14713999999</v>
      </c>
      <c r="Q50" s="193">
        <f t="shared" si="34"/>
        <v>0.0026501369466938123</v>
      </c>
      <c r="R50" s="184">
        <v>47719.90500999998</v>
      </c>
      <c r="S50" s="193">
        <f>R50/R$41</f>
        <v>0.003554056967309883</v>
      </c>
      <c r="T50" s="184">
        <v>45542.37900000002</v>
      </c>
      <c r="U50" s="193">
        <f>T50/T$41</f>
        <v>0.003637959467591403</v>
      </c>
      <c r="V50" s="161">
        <f>SUM(B50,D50,F50,H50,J50,L50,N50,P50,R50,T50)</f>
        <v>785208.7798525427</v>
      </c>
      <c r="W50" s="193">
        <f t="shared" si="37"/>
        <v>0.009302088449863206</v>
      </c>
    </row>
    <row r="51" spans="1:24" ht="15" customHeight="1" thickBot="1">
      <c r="A51" s="186" t="s">
        <v>2969</v>
      </c>
      <c r="B51" s="204" t="s">
        <v>1980</v>
      </c>
      <c r="C51" s="205"/>
      <c r="D51" s="187">
        <f>212.8077</f>
        <v>212.8077</v>
      </c>
      <c r="E51" s="188">
        <f aca="true" t="shared" si="39" ref="E51:E57">D51/D42</f>
        <v>0.0018134885528831885</v>
      </c>
      <c r="F51" s="187">
        <v>443.28</v>
      </c>
      <c r="G51" s="188">
        <f aca="true" t="shared" si="40" ref="G51:G58">F51/F42</f>
        <v>0.011212293862364338</v>
      </c>
      <c r="H51" s="187">
        <v>329.286</v>
      </c>
      <c r="I51" s="188">
        <f aca="true" t="shared" si="41" ref="I51:I58">H51/H42</f>
        <v>0.0057122346644828455</v>
      </c>
      <c r="J51" s="187">
        <v>239.261</v>
      </c>
      <c r="K51" s="188">
        <f aca="true" t="shared" si="42" ref="K51:K57">J51/J42</f>
        <v>1.9484059516032424E-05</v>
      </c>
      <c r="L51" s="187">
        <v>390.1068</v>
      </c>
      <c r="M51" s="188">
        <f aca="true" t="shared" si="43" ref="M51:W57">L51/L42</f>
        <v>3.134324484438638E-05</v>
      </c>
      <c r="N51" s="187">
        <v>484.58223000000004</v>
      </c>
      <c r="O51" s="188">
        <f t="shared" si="43"/>
        <v>3.7465784834949866E-05</v>
      </c>
      <c r="P51" s="187">
        <v>1482.5690300000003</v>
      </c>
      <c r="Q51" s="188">
        <f t="shared" si="43"/>
        <v>9.766760362665719E-05</v>
      </c>
      <c r="R51" s="187">
        <v>824.5876999999998</v>
      </c>
      <c r="S51" s="188">
        <f t="shared" si="43"/>
        <v>6.215019876688988E-05</v>
      </c>
      <c r="T51" s="187">
        <v>746.279</v>
      </c>
      <c r="U51" s="188">
        <f t="shared" si="43"/>
        <v>6.020717795122809E-05</v>
      </c>
      <c r="V51" s="164">
        <f aca="true" t="shared" si="44" ref="V51:V58">SUM(B51,D51,F51,H51,J51,L51,N51,P51,R51,T51)</f>
        <v>5152.759460000001</v>
      </c>
      <c r="W51" s="188">
        <f t="shared" si="43"/>
        <v>6.54584752175013E-05</v>
      </c>
      <c r="X51" s="195"/>
    </row>
    <row r="52" spans="1:24" ht="25.5" customHeight="1" thickBot="1">
      <c r="A52" s="186" t="s">
        <v>2033</v>
      </c>
      <c r="B52" s="206" t="s">
        <v>1980</v>
      </c>
      <c r="C52" s="196"/>
      <c r="D52" s="187">
        <v>2044.057</v>
      </c>
      <c r="E52" s="188">
        <f t="shared" si="39"/>
        <v>0.019712447768533096</v>
      </c>
      <c r="F52" s="187">
        <v>945.02</v>
      </c>
      <c r="G52" s="188">
        <f t="shared" si="40"/>
        <v>0.011437857492806678</v>
      </c>
      <c r="H52" s="187">
        <v>124.003</v>
      </c>
      <c r="I52" s="188">
        <f t="shared" si="41"/>
        <v>0.001915736366138418</v>
      </c>
      <c r="J52" s="187">
        <v>556.095</v>
      </c>
      <c r="K52" s="188">
        <f t="shared" si="42"/>
        <v>0.00822663976482457</v>
      </c>
      <c r="L52" s="187">
        <v>338.615</v>
      </c>
      <c r="M52" s="188">
        <f t="shared" si="43"/>
        <v>0.015857337043717147</v>
      </c>
      <c r="N52" s="187">
        <v>491.99</v>
      </c>
      <c r="O52" s="188">
        <f t="shared" si="43"/>
        <v>0.056277443396606924</v>
      </c>
      <c r="P52" s="187">
        <v>562.2280000000001</v>
      </c>
      <c r="Q52" s="188">
        <f t="shared" si="43"/>
        <v>0.03161109482903446</v>
      </c>
      <c r="R52" s="187">
        <v>533.4118000000001</v>
      </c>
      <c r="S52" s="188">
        <f t="shared" si="43"/>
        <v>0.02665345340201626</v>
      </c>
      <c r="T52" s="187">
        <v>1520.872</v>
      </c>
      <c r="U52" s="188">
        <f t="shared" si="43"/>
        <v>0.07032833561356779</v>
      </c>
      <c r="V52" s="164">
        <f t="shared" si="44"/>
        <v>7116.2918</v>
      </c>
      <c r="W52" s="188">
        <f t="shared" si="43"/>
        <v>0.014634188375868525</v>
      </c>
      <c r="X52" s="195"/>
    </row>
    <row r="53" spans="1:24" ht="25.5" customHeight="1" thickBot="1">
      <c r="A53" s="186" t="s">
        <v>2034</v>
      </c>
      <c r="B53" s="206" t="s">
        <v>1980</v>
      </c>
      <c r="C53" s="196"/>
      <c r="D53" s="187">
        <v>208301.382</v>
      </c>
      <c r="E53" s="188">
        <f t="shared" si="39"/>
        <v>0.2437340170621175</v>
      </c>
      <c r="F53" s="187">
        <v>202135.905</v>
      </c>
      <c r="G53" s="188">
        <f t="shared" si="40"/>
        <v>0.29102872394644275</v>
      </c>
      <c r="H53" s="187">
        <v>96692.121</v>
      </c>
      <c r="I53" s="188">
        <f t="shared" si="41"/>
        <v>0.1467316895501622</v>
      </c>
      <c r="J53" s="187">
        <v>3420.2870000000003</v>
      </c>
      <c r="K53" s="188">
        <f t="shared" si="42"/>
        <v>0.005204536371060646</v>
      </c>
      <c r="L53" s="187">
        <v>28781.499</v>
      </c>
      <c r="M53" s="188">
        <f t="shared" si="43"/>
        <v>0.044480755184120147</v>
      </c>
      <c r="N53" s="187">
        <v>7537.029239999995</v>
      </c>
      <c r="O53" s="188">
        <f t="shared" si="43"/>
        <v>0.012732133144521185</v>
      </c>
      <c r="P53" s="187">
        <v>27926.90342999999</v>
      </c>
      <c r="Q53" s="188">
        <f t="shared" si="43"/>
        <v>0.18867396841768663</v>
      </c>
      <c r="R53" s="187">
        <v>28301.44</v>
      </c>
      <c r="S53" s="188">
        <f t="shared" si="43"/>
        <v>0.2661899026339009</v>
      </c>
      <c r="T53" s="187">
        <v>22309.34700000002</v>
      </c>
      <c r="U53" s="188">
        <f t="shared" si="43"/>
        <v>0.3328725998992821</v>
      </c>
      <c r="V53" s="164">
        <f t="shared" si="44"/>
        <v>625405.9136699999</v>
      </c>
      <c r="W53" s="188">
        <f t="shared" si="43"/>
        <v>0.13128573968088286</v>
      </c>
      <c r="X53" s="195"/>
    </row>
    <row r="54" spans="1:24" ht="36.75" customHeight="1" thickBot="1">
      <c r="A54" s="186" t="s">
        <v>2035</v>
      </c>
      <c r="B54" s="206" t="s">
        <v>1980</v>
      </c>
      <c r="C54" s="196"/>
      <c r="D54" s="187">
        <v>1011.1217</v>
      </c>
      <c r="E54" s="188">
        <f t="shared" si="39"/>
        <v>0.9060866008788967</v>
      </c>
      <c r="F54" s="187">
        <v>1669.5528</v>
      </c>
      <c r="G54" s="188">
        <f t="shared" si="40"/>
        <v>0.761569468630625</v>
      </c>
      <c r="H54" s="187">
        <v>3929.754</v>
      </c>
      <c r="I54" s="188">
        <f t="shared" si="41"/>
        <v>0.8005168443972841</v>
      </c>
      <c r="J54" s="187">
        <v>464.43300000000005</v>
      </c>
      <c r="K54" s="188">
        <f t="shared" si="42"/>
        <v>0.23438207316500817</v>
      </c>
      <c r="L54" s="187">
        <v>1592.3165</v>
      </c>
      <c r="M54" s="188">
        <f t="shared" si="43"/>
        <v>0.6656435657313967</v>
      </c>
      <c r="N54" s="187">
        <v>4803.05694</v>
      </c>
      <c r="O54" s="188">
        <f t="shared" si="43"/>
        <v>0.6517897149706067</v>
      </c>
      <c r="P54" s="187">
        <v>1126.0627599999996</v>
      </c>
      <c r="Q54" s="188">
        <f t="shared" si="43"/>
        <v>0.5333093032313458</v>
      </c>
      <c r="R54" s="187">
        <v>1883.5381999999988</v>
      </c>
      <c r="S54" s="188">
        <f t="shared" si="43"/>
        <v>0.5948628001964691</v>
      </c>
      <c r="T54" s="187">
        <v>1071.8339999999998</v>
      </c>
      <c r="U54" s="188">
        <f t="shared" si="43"/>
        <v>0.6791986394659554</v>
      </c>
      <c r="V54" s="164">
        <f t="shared" si="44"/>
        <v>17551.669899999997</v>
      </c>
      <c r="W54" s="188">
        <f t="shared" si="43"/>
        <v>0.5988520677738992</v>
      </c>
      <c r="X54" s="195"/>
    </row>
    <row r="55" spans="1:24" ht="15" customHeight="1" thickBot="1">
      <c r="A55" s="186" t="s">
        <v>929</v>
      </c>
      <c r="B55" s="206" t="s">
        <v>1980</v>
      </c>
      <c r="C55" s="196"/>
      <c r="D55" s="187">
        <v>23.842</v>
      </c>
      <c r="E55" s="188">
        <f t="shared" si="39"/>
        <v>1</v>
      </c>
      <c r="F55" s="187">
        <v>56.367</v>
      </c>
      <c r="G55" s="188">
        <f t="shared" si="40"/>
        <v>1</v>
      </c>
      <c r="H55" s="187">
        <v>2.475</v>
      </c>
      <c r="I55" s="188">
        <f t="shared" si="41"/>
        <v>0.07058521560574949</v>
      </c>
      <c r="J55" s="187">
        <v>26.537</v>
      </c>
      <c r="K55" s="188">
        <f t="shared" si="42"/>
        <v>0.027846656082202055</v>
      </c>
      <c r="L55" s="187">
        <v>96.88800000000003</v>
      </c>
      <c r="M55" s="188">
        <f t="shared" si="43"/>
        <v>0.40445935558764257</v>
      </c>
      <c r="N55" s="187">
        <v>513.8526499999998</v>
      </c>
      <c r="O55" s="188">
        <f t="shared" si="43"/>
        <v>0.802986456641018</v>
      </c>
      <c r="P55" s="187">
        <v>75.38600000000001</v>
      </c>
      <c r="Q55" s="188">
        <f t="shared" si="43"/>
        <v>0.6403080300705075</v>
      </c>
      <c r="R55" s="187">
        <v>145.41570000000007</v>
      </c>
      <c r="S55" s="188">
        <f t="shared" si="43"/>
        <v>0.7056329047585779</v>
      </c>
      <c r="T55" s="187">
        <v>404.6119999999997</v>
      </c>
      <c r="U55" s="188">
        <f t="shared" si="43"/>
        <v>0.9423209898937938</v>
      </c>
      <c r="V55" s="164">
        <f t="shared" si="44"/>
        <v>1345.3753499999996</v>
      </c>
      <c r="W55" s="188">
        <f t="shared" si="43"/>
        <v>0.2791335286886391</v>
      </c>
      <c r="X55" s="207"/>
    </row>
    <row r="56" spans="1:24" ht="15" customHeight="1" thickBot="1">
      <c r="A56" s="191" t="s">
        <v>2037</v>
      </c>
      <c r="B56" s="206" t="s">
        <v>1980</v>
      </c>
      <c r="C56" s="205"/>
      <c r="D56" s="187">
        <v>8295.6</v>
      </c>
      <c r="E56" s="188">
        <f t="shared" si="39"/>
        <v>0.5951009410451499</v>
      </c>
      <c r="F56" s="187">
        <v>3751.701</v>
      </c>
      <c r="G56" s="188">
        <f t="shared" si="40"/>
        <v>0.39601176350006867</v>
      </c>
      <c r="H56" s="187">
        <v>4306.5</v>
      </c>
      <c r="I56" s="188">
        <f t="shared" si="41"/>
        <v>0.16598599496780878</v>
      </c>
      <c r="J56" s="187">
        <v>491.002</v>
      </c>
      <c r="K56" s="188">
        <f t="shared" si="42"/>
        <v>4.0108644357865014E-05</v>
      </c>
      <c r="L56" s="187">
        <v>36.6</v>
      </c>
      <c r="M56" s="188">
        <f t="shared" si="43"/>
        <v>2.9399623591240477E-06</v>
      </c>
      <c r="N56" s="187">
        <v>40.015</v>
      </c>
      <c r="O56" s="188">
        <f t="shared" si="43"/>
        <v>3.093042785577889E-06</v>
      </c>
      <c r="P56" s="187">
        <v>0.036000000000000004</v>
      </c>
      <c r="Q56" s="188">
        <f t="shared" si="43"/>
        <v>2.371621063066803E-09</v>
      </c>
      <c r="R56" s="187">
        <v>1.277</v>
      </c>
      <c r="S56" s="188">
        <f t="shared" si="43"/>
        <v>9.624611979019351E-08</v>
      </c>
      <c r="T56" s="187">
        <v>2236.785</v>
      </c>
      <c r="U56" s="188">
        <f t="shared" si="43"/>
        <v>0.00018041486347998407</v>
      </c>
      <c r="V56" s="164">
        <f t="shared" si="44"/>
        <v>19159.515999999996</v>
      </c>
      <c r="W56" s="188">
        <f t="shared" si="43"/>
        <v>0.00024383189779100556</v>
      </c>
      <c r="X56" s="195"/>
    </row>
    <row r="57" spans="1:24" ht="15" customHeight="1" thickBot="1">
      <c r="A57" s="191" t="s">
        <v>2038</v>
      </c>
      <c r="B57" s="206" t="s">
        <v>1980</v>
      </c>
      <c r="C57" s="205"/>
      <c r="D57" s="187">
        <v>151496.183</v>
      </c>
      <c r="E57" s="188">
        <f t="shared" si="39"/>
        <v>0.6869171638734641</v>
      </c>
      <c r="F57" s="187">
        <v>136547.925</v>
      </c>
      <c r="G57" s="188">
        <f t="shared" si="40"/>
        <v>0.6435284548642288</v>
      </c>
      <c r="H57" s="187">
        <v>95982.5</v>
      </c>
      <c r="I57" s="188">
        <f t="shared" si="41"/>
        <v>0.5086411632709386</v>
      </c>
      <c r="J57" s="187">
        <v>2995.3010000000004</v>
      </c>
      <c r="K57" s="188">
        <f t="shared" si="42"/>
        <v>0.020999547857514015</v>
      </c>
      <c r="L57" s="187">
        <v>23170.893999999997</v>
      </c>
      <c r="M57" s="188">
        <f t="shared" si="43"/>
        <v>0.32658828123044564</v>
      </c>
      <c r="N57" s="187">
        <v>8338.171</v>
      </c>
      <c r="O57" s="188">
        <f t="shared" si="43"/>
        <v>0.0973660476295034</v>
      </c>
      <c r="P57" s="187">
        <v>28164.467999999997</v>
      </c>
      <c r="Q57" s="188">
        <f t="shared" si="43"/>
        <v>0.35536926863963736</v>
      </c>
      <c r="R57" s="187">
        <v>27896.617000000002</v>
      </c>
      <c r="S57" s="188">
        <f t="shared" si="43"/>
        <v>0.397355377560699</v>
      </c>
      <c r="T57" s="187">
        <v>19703.649</v>
      </c>
      <c r="U57" s="188">
        <f t="shared" si="43"/>
        <v>0.4189770326388859</v>
      </c>
      <c r="V57" s="164">
        <f t="shared" si="44"/>
        <v>494295.7079999999</v>
      </c>
      <c r="W57" s="188">
        <f t="shared" si="43"/>
        <v>0.3635540258919236</v>
      </c>
      <c r="X57" s="195"/>
    </row>
    <row r="58" spans="1:24" ht="15" customHeight="1" thickBot="1">
      <c r="A58" s="190" t="s">
        <v>2043</v>
      </c>
      <c r="B58" s="206" t="s">
        <v>1980</v>
      </c>
      <c r="C58" s="205"/>
      <c r="D58" s="203" t="s">
        <v>1980</v>
      </c>
      <c r="E58" s="188"/>
      <c r="F58" s="196">
        <v>1.04</v>
      </c>
      <c r="G58" s="188">
        <f t="shared" si="40"/>
        <v>0.0017979237438304418</v>
      </c>
      <c r="H58" s="196">
        <v>168.8</v>
      </c>
      <c r="I58" s="188">
        <f t="shared" si="41"/>
        <v>0.9991713034213331</v>
      </c>
      <c r="J58" s="203" t="s">
        <v>1980</v>
      </c>
      <c r="K58" s="188"/>
      <c r="L58" s="203" t="s">
        <v>1980</v>
      </c>
      <c r="M58" s="194"/>
      <c r="N58" s="203" t="s">
        <v>1980</v>
      </c>
      <c r="O58" s="194"/>
      <c r="P58" s="203" t="s">
        <v>1980</v>
      </c>
      <c r="Q58" s="194"/>
      <c r="R58" s="203" t="s">
        <v>1980</v>
      </c>
      <c r="S58" s="194"/>
      <c r="T58" s="455" t="s">
        <v>1980</v>
      </c>
      <c r="U58" s="194"/>
      <c r="V58" s="164">
        <f t="shared" si="44"/>
        <v>169.84</v>
      </c>
      <c r="W58" s="188">
        <f>V58/V49</f>
        <v>0.021013331538506458</v>
      </c>
      <c r="X58" s="195"/>
    </row>
    <row r="59" spans="1:23" ht="15" customHeight="1" thickBot="1">
      <c r="A59" s="198" t="s">
        <v>2040</v>
      </c>
      <c r="B59" s="204" t="s">
        <v>1980</v>
      </c>
      <c r="C59" s="205"/>
      <c r="D59" s="204" t="s">
        <v>1980</v>
      </c>
      <c r="E59" s="204"/>
      <c r="F59" s="201" t="s">
        <v>1980</v>
      </c>
      <c r="G59" s="201"/>
      <c r="H59" s="184">
        <v>136286.81900000002</v>
      </c>
      <c r="I59" s="193">
        <f>H59/H$41</f>
        <v>0.16686132684196406</v>
      </c>
      <c r="J59" s="184">
        <v>96036.68458957845</v>
      </c>
      <c r="K59" s="193">
        <f>J59/J$41</f>
        <v>0.0073632628420510484</v>
      </c>
      <c r="L59" s="184">
        <v>12315.19249</v>
      </c>
      <c r="M59" s="193">
        <f>L59/L$41</f>
        <v>0.0009362199691592425</v>
      </c>
      <c r="N59" s="184">
        <v>14953.433189999992</v>
      </c>
      <c r="O59" s="193">
        <f>N59/N$41</f>
        <v>0.0011011049409064902</v>
      </c>
      <c r="P59" s="184">
        <v>10205.484040000003</v>
      </c>
      <c r="Q59" s="193">
        <f>P59/P$41</f>
        <v>0.000663473473893904</v>
      </c>
      <c r="R59" s="184">
        <v>7875.83171999999</v>
      </c>
      <c r="S59" s="193">
        <f>R59/R$41</f>
        <v>0.0005865718842474737</v>
      </c>
      <c r="T59" s="184">
        <v>12853.96</v>
      </c>
      <c r="U59" s="193">
        <f>T59/T$41</f>
        <v>0.0010267839868014178</v>
      </c>
      <c r="V59" s="161">
        <f>SUM(B59,D59,F59,H59,J59,L59,N59,P59,R59,T59)</f>
        <v>290527.4050295785</v>
      </c>
      <c r="W59" s="193">
        <f>V59/V$41</f>
        <v>0.003441774580261171</v>
      </c>
    </row>
    <row r="60" spans="1:24" ht="15" customHeight="1" thickBot="1">
      <c r="A60" s="186" t="s">
        <v>2969</v>
      </c>
      <c r="B60" s="204" t="s">
        <v>1980</v>
      </c>
      <c r="C60" s="205"/>
      <c r="D60" s="204" t="s">
        <v>1980</v>
      </c>
      <c r="E60" s="204"/>
      <c r="F60" s="201" t="s">
        <v>1980</v>
      </c>
      <c r="G60" s="201"/>
      <c r="H60" s="187">
        <v>401.135</v>
      </c>
      <c r="I60" s="188">
        <f>H60/H42</f>
        <v>0.006958623361264451</v>
      </c>
      <c r="J60" s="187">
        <v>2928.667000000001</v>
      </c>
      <c r="K60" s="188">
        <f>J60/J42</f>
        <v>0.00023849403843769</v>
      </c>
      <c r="L60" s="187">
        <v>562.5499</v>
      </c>
      <c r="M60" s="188">
        <f aca="true" t="shared" si="45" ref="M60:U67">L60/L42</f>
        <v>4.519823610581787E-05</v>
      </c>
      <c r="N60" s="187">
        <v>669.7080000000001</v>
      </c>
      <c r="O60" s="188">
        <f t="shared" si="45"/>
        <v>5.177890206631103E-05</v>
      </c>
      <c r="P60" s="187">
        <v>256.605</v>
      </c>
      <c r="Q60" s="188">
        <f t="shared" si="45"/>
        <v>1.690443744708357E-05</v>
      </c>
      <c r="R60" s="187">
        <v>6.262</v>
      </c>
      <c r="S60" s="188">
        <f t="shared" si="45"/>
        <v>4.7197471497363405E-07</v>
      </c>
      <c r="T60" s="187">
        <v>230.54100000000005</v>
      </c>
      <c r="U60" s="188">
        <f t="shared" si="45"/>
        <v>1.85992410506715E-05</v>
      </c>
      <c r="V60" s="164">
        <f aca="true" t="shared" si="46" ref="V60:V67">SUM(B60,D60,F60,H60,J60,L60,N60,P60,R60,T60)</f>
        <v>5055.4679</v>
      </c>
      <c r="W60" s="194">
        <f aca="true" t="shared" si="47" ref="W60:W67">V60/V42</f>
        <v>6.422252441898836E-05</v>
      </c>
      <c r="X60" s="195"/>
    </row>
    <row r="61" spans="1:24" ht="25.5" customHeight="1" thickBot="1">
      <c r="A61" s="186" t="s">
        <v>2033</v>
      </c>
      <c r="B61" s="204" t="s">
        <v>1980</v>
      </c>
      <c r="C61" s="205"/>
      <c r="D61" s="204" t="s">
        <v>1980</v>
      </c>
      <c r="E61" s="204"/>
      <c r="F61" s="201" t="s">
        <v>1980</v>
      </c>
      <c r="G61" s="201"/>
      <c r="H61" s="187">
        <v>595</v>
      </c>
      <c r="I61" s="188">
        <f aca="true" t="shared" si="48" ref="I61:K64">H61/H43</f>
        <v>0.00919222226762545</v>
      </c>
      <c r="J61" s="187">
        <v>72</v>
      </c>
      <c r="K61" s="188">
        <f t="shared" si="48"/>
        <v>0.0010651382642666615</v>
      </c>
      <c r="L61" s="187">
        <v>75</v>
      </c>
      <c r="M61" s="188">
        <f t="shared" si="45"/>
        <v>0.0035122492455407646</v>
      </c>
      <c r="N61" s="187">
        <v>0.078</v>
      </c>
      <c r="O61" s="188">
        <f t="shared" si="45"/>
        <v>8.922215055052624E-06</v>
      </c>
      <c r="P61" s="187">
        <v>26.26</v>
      </c>
      <c r="Q61" s="188">
        <f t="shared" si="45"/>
        <v>0.0014764603509793979</v>
      </c>
      <c r="R61" s="187">
        <v>6.89</v>
      </c>
      <c r="S61" s="188">
        <f t="shared" si="45"/>
        <v>0.0003442786491410426</v>
      </c>
      <c r="T61" s="187">
        <v>43.226</v>
      </c>
      <c r="U61" s="188">
        <f t="shared" si="45"/>
        <v>0.0019988615973152773</v>
      </c>
      <c r="V61" s="164">
        <f t="shared" si="46"/>
        <v>818.454</v>
      </c>
      <c r="W61" s="188">
        <f t="shared" si="47"/>
        <v>0.0016830970889899564</v>
      </c>
      <c r="X61" s="195"/>
    </row>
    <row r="62" spans="1:24" ht="25.5" customHeight="1" thickBot="1">
      <c r="A62" s="186" t="s">
        <v>2034</v>
      </c>
      <c r="B62" s="204" t="s">
        <v>1980</v>
      </c>
      <c r="C62" s="205"/>
      <c r="D62" s="204" t="s">
        <v>1980</v>
      </c>
      <c r="E62" s="204"/>
      <c r="F62" s="201" t="s">
        <v>1980</v>
      </c>
      <c r="G62" s="201"/>
      <c r="H62" s="187">
        <v>128362.079</v>
      </c>
      <c r="I62" s="188">
        <f t="shared" si="48"/>
        <v>0.1947913080305829</v>
      </c>
      <c r="J62" s="187">
        <v>80317.88899999997</v>
      </c>
      <c r="K62" s="188">
        <f t="shared" si="48"/>
        <v>0.1222170462734009</v>
      </c>
      <c r="L62" s="187">
        <v>701</v>
      </c>
      <c r="M62" s="188">
        <f t="shared" si="45"/>
        <v>0.001083369889249626</v>
      </c>
      <c r="N62" s="187">
        <v>825.3546</v>
      </c>
      <c r="O62" s="188">
        <f t="shared" si="45"/>
        <v>0.001394252871260326</v>
      </c>
      <c r="P62" s="187">
        <v>461.2905</v>
      </c>
      <c r="Q62" s="188">
        <f t="shared" si="45"/>
        <v>0.0031164754605369042</v>
      </c>
      <c r="R62" s="187">
        <v>336.2655</v>
      </c>
      <c r="S62" s="188">
        <f t="shared" si="45"/>
        <v>0.00316275358088281</v>
      </c>
      <c r="T62" s="187">
        <v>4451.559000000001</v>
      </c>
      <c r="U62" s="188">
        <f t="shared" si="45"/>
        <v>0.06642068088927243</v>
      </c>
      <c r="V62" s="164">
        <f t="shared" si="46"/>
        <v>215455.43759999998</v>
      </c>
      <c r="W62" s="188">
        <f t="shared" si="47"/>
        <v>0.04522858814620953</v>
      </c>
      <c r="X62" s="195"/>
    </row>
    <row r="63" spans="1:24" ht="36.75" customHeight="1" thickBot="1">
      <c r="A63" s="186" t="s">
        <v>2035</v>
      </c>
      <c r="B63" s="204" t="s">
        <v>1980</v>
      </c>
      <c r="C63" s="205"/>
      <c r="D63" s="204" t="s">
        <v>1980</v>
      </c>
      <c r="E63" s="204"/>
      <c r="F63" s="201" t="s">
        <v>1980</v>
      </c>
      <c r="G63" s="201"/>
      <c r="H63" s="187">
        <v>716</v>
      </c>
      <c r="I63" s="188">
        <f t="shared" si="48"/>
        <v>0.14585392891983961</v>
      </c>
      <c r="J63" s="187">
        <v>1208.837</v>
      </c>
      <c r="K63" s="188">
        <f t="shared" si="48"/>
        <v>0.6100551041346522</v>
      </c>
      <c r="L63" s="187">
        <v>589.831</v>
      </c>
      <c r="M63" s="188">
        <f t="shared" si="45"/>
        <v>0.2465698308212692</v>
      </c>
      <c r="N63" s="187">
        <v>2387.3802000000005</v>
      </c>
      <c r="O63" s="188">
        <f t="shared" si="45"/>
        <v>0.32397489339038943</v>
      </c>
      <c r="P63" s="187">
        <v>643.5929999999998</v>
      </c>
      <c r="Q63" s="188">
        <f t="shared" si="45"/>
        <v>0.3048090626801046</v>
      </c>
      <c r="R63" s="187">
        <v>932.9970000000001</v>
      </c>
      <c r="S63" s="188">
        <f t="shared" si="45"/>
        <v>0.29466097793764173</v>
      </c>
      <c r="T63" s="187">
        <v>282.218</v>
      </c>
      <c r="U63" s="188">
        <f t="shared" si="45"/>
        <v>0.1788356047977607</v>
      </c>
      <c r="V63" s="164">
        <f t="shared" si="46"/>
        <v>6760.856200000001</v>
      </c>
      <c r="W63" s="188">
        <f t="shared" si="47"/>
        <v>0.2306762113439695</v>
      </c>
      <c r="X63" s="195"/>
    </row>
    <row r="64" spans="1:24" ht="15" customHeight="1" thickBot="1">
      <c r="A64" s="186" t="s">
        <v>929</v>
      </c>
      <c r="B64" s="204" t="s">
        <v>1980</v>
      </c>
      <c r="C64" s="205"/>
      <c r="D64" s="204" t="s">
        <v>1980</v>
      </c>
      <c r="E64" s="204"/>
      <c r="F64" s="201" t="s">
        <v>1980</v>
      </c>
      <c r="G64" s="201"/>
      <c r="H64" s="187">
        <v>33</v>
      </c>
      <c r="I64" s="188">
        <f t="shared" si="48"/>
        <v>0.9411362080766599</v>
      </c>
      <c r="J64" s="187">
        <v>720.402</v>
      </c>
      <c r="K64" s="188">
        <f t="shared" si="48"/>
        <v>0.7559553353781712</v>
      </c>
      <c r="L64" s="187">
        <v>89</v>
      </c>
      <c r="M64" s="188">
        <f t="shared" si="45"/>
        <v>0.37153086705577754</v>
      </c>
      <c r="N64" s="187">
        <v>31.8075</v>
      </c>
      <c r="O64" s="188">
        <f t="shared" si="45"/>
        <v>0.04970489442763249</v>
      </c>
      <c r="P64" s="187">
        <v>2.0105000000000004</v>
      </c>
      <c r="Q64" s="188">
        <f t="shared" si="45"/>
        <v>0.01707663617192523</v>
      </c>
      <c r="R64" s="187">
        <v>25.73255</v>
      </c>
      <c r="S64" s="188">
        <f t="shared" si="45"/>
        <v>0.12486776877149672</v>
      </c>
      <c r="T64" s="450">
        <v>3.307</v>
      </c>
      <c r="U64" s="188">
        <f t="shared" si="45"/>
        <v>0.007701836607858339</v>
      </c>
      <c r="V64" s="164">
        <f t="shared" si="46"/>
        <v>905.25955</v>
      </c>
      <c r="W64" s="188">
        <f t="shared" si="47"/>
        <v>0.18781992145953144</v>
      </c>
      <c r="X64" s="195"/>
    </row>
    <row r="65" spans="1:24" ht="15" customHeight="1" thickBot="1">
      <c r="A65" s="191" t="s">
        <v>2037</v>
      </c>
      <c r="B65" s="204" t="s">
        <v>1980</v>
      </c>
      <c r="C65" s="205"/>
      <c r="D65" s="204" t="s">
        <v>1980</v>
      </c>
      <c r="E65" s="204"/>
      <c r="F65" s="201" t="s">
        <v>1980</v>
      </c>
      <c r="G65" s="201"/>
      <c r="H65" s="187">
        <v>2.61</v>
      </c>
      <c r="I65" s="188">
        <f>H65/H47</f>
        <v>0.0001005975727077629</v>
      </c>
      <c r="J65" s="187">
        <v>2391.186333253548</v>
      </c>
      <c r="K65" s="188">
        <f>J65/J47</f>
        <v>0.00019532963660810719</v>
      </c>
      <c r="L65" s="187">
        <v>557.9870000000001</v>
      </c>
      <c r="M65" s="188">
        <f t="shared" si="45"/>
        <v>4.482133270165438E-05</v>
      </c>
      <c r="N65" s="187">
        <v>611.2760000000001</v>
      </c>
      <c r="O65" s="188">
        <f t="shared" si="45"/>
        <v>4.7249851850478815E-05</v>
      </c>
      <c r="P65" s="187">
        <v>650.126</v>
      </c>
      <c r="Q65" s="188">
        <f t="shared" si="45"/>
        <v>4.282923653464912E-05</v>
      </c>
      <c r="R65" s="187">
        <v>645.195</v>
      </c>
      <c r="S65" s="188">
        <f t="shared" si="45"/>
        <v>4.862765486142045E-05</v>
      </c>
      <c r="T65" s="187">
        <v>1361.563</v>
      </c>
      <c r="U65" s="188">
        <f t="shared" si="45"/>
        <v>0.0001098211060805565</v>
      </c>
      <c r="V65" s="164">
        <f t="shared" si="46"/>
        <v>6219.943333253548</v>
      </c>
      <c r="W65" s="194">
        <f t="shared" si="47"/>
        <v>7.915756259707844E-05</v>
      </c>
      <c r="X65" s="195"/>
    </row>
    <row r="66" spans="1:24" ht="15" customHeight="1" thickBot="1">
      <c r="A66" s="191" t="s">
        <v>2038</v>
      </c>
      <c r="B66" s="204" t="s">
        <v>1980</v>
      </c>
      <c r="C66" s="205"/>
      <c r="D66" s="204" t="s">
        <v>1980</v>
      </c>
      <c r="E66" s="204"/>
      <c r="F66" s="201" t="s">
        <v>1980</v>
      </c>
      <c r="G66" s="201"/>
      <c r="H66" s="187">
        <v>29853.096</v>
      </c>
      <c r="I66" s="188">
        <f>H66/H48</f>
        <v>0.15820085407943116</v>
      </c>
      <c r="J66" s="187">
        <v>79698.81</v>
      </c>
      <c r="K66" s="188">
        <f>J66/J48</f>
        <v>0.5587548546145834</v>
      </c>
      <c r="L66" s="187">
        <v>232.756</v>
      </c>
      <c r="M66" s="188">
        <f t="shared" si="45"/>
        <v>0.003280640875836453</v>
      </c>
      <c r="N66" s="187">
        <v>429.744</v>
      </c>
      <c r="O66" s="188">
        <f t="shared" si="45"/>
        <v>0.0050181838166299675</v>
      </c>
      <c r="P66" s="187">
        <v>468.866</v>
      </c>
      <c r="Q66" s="188">
        <f t="shared" si="45"/>
        <v>0.0059159849037444</v>
      </c>
      <c r="R66" s="187">
        <v>535.16</v>
      </c>
      <c r="S66" s="188">
        <f t="shared" si="45"/>
        <v>0.007622741634062067</v>
      </c>
      <c r="T66" s="187">
        <v>5.477</v>
      </c>
      <c r="U66" s="188">
        <f t="shared" si="45"/>
        <v>0.00011646255004660193</v>
      </c>
      <c r="V66" s="164">
        <f t="shared" si="46"/>
        <v>111223.909</v>
      </c>
      <c r="W66" s="188">
        <f t="shared" si="47"/>
        <v>0.08180507991056025</v>
      </c>
      <c r="X66" s="195"/>
    </row>
    <row r="67" spans="1:24" ht="15" customHeight="1" thickBot="1">
      <c r="A67" s="190" t="s">
        <v>2043</v>
      </c>
      <c r="B67" s="204" t="s">
        <v>1980</v>
      </c>
      <c r="C67" s="205"/>
      <c r="D67" s="204" t="s">
        <v>1980</v>
      </c>
      <c r="E67" s="204"/>
      <c r="F67" s="201" t="s">
        <v>1980</v>
      </c>
      <c r="G67" s="201"/>
      <c r="H67" s="203" t="s">
        <v>1980</v>
      </c>
      <c r="I67" s="188"/>
      <c r="J67" s="203">
        <v>115.84</v>
      </c>
      <c r="K67" s="188">
        <f>J67/J49</f>
        <v>0.22376325600262703</v>
      </c>
      <c r="L67" s="203">
        <v>130.88</v>
      </c>
      <c r="M67" s="188">
        <f t="shared" si="45"/>
        <v>0.07315614432240575</v>
      </c>
      <c r="N67" s="203" t="s">
        <v>1980</v>
      </c>
      <c r="O67" s="188"/>
      <c r="P67" s="203">
        <v>109.3</v>
      </c>
      <c r="Q67" s="188">
        <f t="shared" si="45"/>
        <v>0.0523705709015117</v>
      </c>
      <c r="R67" s="203" t="s">
        <v>1980</v>
      </c>
      <c r="S67" s="188"/>
      <c r="T67" s="187">
        <v>5.34</v>
      </c>
      <c r="U67" s="188">
        <f t="shared" si="45"/>
        <v>0.012487927167789566</v>
      </c>
      <c r="V67" s="164">
        <f t="shared" si="46"/>
        <v>361.35999999999996</v>
      </c>
      <c r="W67" s="188">
        <f t="shared" si="47"/>
        <v>0.04470900544485806</v>
      </c>
      <c r="X67" s="195"/>
    </row>
    <row r="68" spans="1:23" ht="15" customHeight="1" thickBot="1">
      <c r="A68" s="198" t="s">
        <v>2041</v>
      </c>
      <c r="B68" s="208"/>
      <c r="C68" s="209"/>
      <c r="D68" s="208">
        <f>1456.839</f>
        <v>1456.839</v>
      </c>
      <c r="E68" s="193">
        <f>D68/D41</f>
        <v>0.0013163881314492475</v>
      </c>
      <c r="F68" s="210">
        <v>6696.94</v>
      </c>
      <c r="G68" s="193">
        <f>F68/F$41</f>
        <v>0.007806425459118003</v>
      </c>
      <c r="H68" s="208">
        <v>6619.414</v>
      </c>
      <c r="I68" s="193">
        <f>H68/H$41</f>
        <v>0.008104409590455499</v>
      </c>
      <c r="J68" s="184">
        <v>2995.4959999999996</v>
      </c>
      <c r="K68" s="193">
        <f>J68/J$41</f>
        <v>0.00022966874048779948</v>
      </c>
      <c r="L68" s="184">
        <v>2498.78381</v>
      </c>
      <c r="M68" s="193">
        <f>L68/L$41</f>
        <v>0.00018996140770300007</v>
      </c>
      <c r="N68" s="184">
        <v>2161.984</v>
      </c>
      <c r="O68" s="193">
        <f>N68/N$41</f>
        <v>0.00015919897687126245</v>
      </c>
      <c r="P68" s="184">
        <v>1767.31</v>
      </c>
      <c r="Q68" s="193">
        <f>P68/P$41</f>
        <v>0.0001148954131476389</v>
      </c>
      <c r="R68" s="184">
        <v>4098.4</v>
      </c>
      <c r="S68" s="193">
        <f>R68/R$41</f>
        <v>0.0003052383920665904</v>
      </c>
      <c r="T68" s="184">
        <v>1537.561</v>
      </c>
      <c r="U68" s="193">
        <f>T68/T$41</f>
        <v>0.00012282152842628844</v>
      </c>
      <c r="V68" s="161">
        <f>SUM(B68,D68,F68,H68,J68,L68,N68,P68,R68,T68)</f>
        <v>29832.727810000004</v>
      </c>
      <c r="W68" s="199">
        <f>V68/V$41</f>
        <v>0.00035341768954930423</v>
      </c>
    </row>
    <row r="69" spans="1:24" ht="15" customHeight="1" thickBot="1">
      <c r="A69" s="186" t="s">
        <v>2969</v>
      </c>
      <c r="B69" s="204"/>
      <c r="C69" s="202"/>
      <c r="D69" s="197" t="s">
        <v>1980</v>
      </c>
      <c r="E69" s="204"/>
      <c r="F69" s="204" t="s">
        <v>1980</v>
      </c>
      <c r="G69" s="204"/>
      <c r="H69" s="201" t="s">
        <v>1980</v>
      </c>
      <c r="I69" s="204"/>
      <c r="J69" s="197" t="s">
        <v>1980</v>
      </c>
      <c r="K69" s="204"/>
      <c r="L69" s="211">
        <v>0.7230000000000001</v>
      </c>
      <c r="M69" s="151">
        <f>L69/L42</f>
        <v>5.808964627761257E-08</v>
      </c>
      <c r="N69" s="211" t="s">
        <v>1980</v>
      </c>
      <c r="O69" s="151"/>
      <c r="P69" s="211" t="s">
        <v>1980</v>
      </c>
      <c r="Q69" s="151"/>
      <c r="R69" s="211" t="s">
        <v>1980</v>
      </c>
      <c r="S69" s="151"/>
      <c r="T69" s="211" t="s">
        <v>1980</v>
      </c>
      <c r="U69" s="151"/>
      <c r="V69" s="150">
        <f aca="true" t="shared" si="49" ref="V69:V75">SUM(B69,D69,F69,H69,J69,L69,N69,P69,R69,T69)</f>
        <v>0.7230000000000001</v>
      </c>
      <c r="W69" s="212">
        <f aca="true" t="shared" si="50" ref="W69:W75">V69/V42</f>
        <v>9.184685982266566E-09</v>
      </c>
      <c r="X69" s="195"/>
    </row>
    <row r="70" spans="1:24" ht="25.5" customHeight="1" thickBot="1">
      <c r="A70" s="186" t="s">
        <v>2033</v>
      </c>
      <c r="B70" s="213"/>
      <c r="C70" s="202"/>
      <c r="D70" s="187">
        <v>121.021</v>
      </c>
      <c r="E70" s="151">
        <f>D70/D43</f>
        <v>0.001167100595235673</v>
      </c>
      <c r="F70" s="203" t="s">
        <v>1980</v>
      </c>
      <c r="G70" s="204"/>
      <c r="H70" s="203" t="s">
        <v>1980</v>
      </c>
      <c r="I70" s="204"/>
      <c r="J70" s="203">
        <v>40.24</v>
      </c>
      <c r="K70" s="151">
        <f>J70/J43</f>
        <v>0.0005952939410290342</v>
      </c>
      <c r="L70" s="214">
        <v>0.256</v>
      </c>
      <c r="M70" s="151">
        <f>L70/L43</f>
        <v>1.1988477424779145E-05</v>
      </c>
      <c r="N70" s="214" t="s">
        <v>1980</v>
      </c>
      <c r="O70" s="151"/>
      <c r="P70" s="214" t="s">
        <v>1980</v>
      </c>
      <c r="Q70" s="151"/>
      <c r="R70" s="214" t="s">
        <v>1980</v>
      </c>
      <c r="S70" s="151"/>
      <c r="T70" s="214" t="s">
        <v>1980</v>
      </c>
      <c r="U70" s="151"/>
      <c r="V70" s="164">
        <f t="shared" si="49"/>
        <v>161.517</v>
      </c>
      <c r="W70" s="212">
        <f t="shared" si="50"/>
        <v>0.0003321491403577853</v>
      </c>
      <c r="X70" s="195"/>
    </row>
    <row r="71" spans="1:24" ht="25.5" customHeight="1" thickBot="1">
      <c r="A71" s="186" t="s">
        <v>2034</v>
      </c>
      <c r="B71" s="213"/>
      <c r="C71" s="202"/>
      <c r="D71" s="187">
        <v>1335.429</v>
      </c>
      <c r="E71" s="151">
        <f>D71/D44</f>
        <v>0.0015625891270910845</v>
      </c>
      <c r="F71" s="187">
        <v>6696.64</v>
      </c>
      <c r="G71" s="151">
        <f>F71/F44</f>
        <v>0.009641605205807976</v>
      </c>
      <c r="H71" s="187">
        <v>6604.294</v>
      </c>
      <c r="I71" s="151">
        <f>H71/H44</f>
        <v>0.010022111490407774</v>
      </c>
      <c r="J71" s="187">
        <v>2955.0159999999996</v>
      </c>
      <c r="K71" s="151">
        <f>J71/J44</f>
        <v>0.004496549046634432</v>
      </c>
      <c r="L71" s="187">
        <v>1230.5</v>
      </c>
      <c r="M71" s="151">
        <f>L71/L44</f>
        <v>0.001901692794182118</v>
      </c>
      <c r="N71" s="187">
        <v>546.917</v>
      </c>
      <c r="O71" s="151">
        <f>N71/N44</f>
        <v>0.0009238945267780463</v>
      </c>
      <c r="P71" s="197" t="s">
        <v>1980</v>
      </c>
      <c r="Q71" s="151"/>
      <c r="R71" s="187">
        <v>2069.685</v>
      </c>
      <c r="S71" s="151">
        <f>R71/R44</f>
        <v>0.01946647409576492</v>
      </c>
      <c r="T71" s="214" t="s">
        <v>1980</v>
      </c>
      <c r="U71" s="151"/>
      <c r="V71" s="164">
        <f t="shared" si="49"/>
        <v>21438.481000000003</v>
      </c>
      <c r="W71" s="151">
        <f t="shared" si="50"/>
        <v>0.0045003841092629655</v>
      </c>
      <c r="X71" s="195"/>
    </row>
    <row r="72" spans="1:24" ht="36.75" customHeight="1" thickBot="1">
      <c r="A72" s="186" t="s">
        <v>2035</v>
      </c>
      <c r="B72" s="213"/>
      <c r="C72" s="202"/>
      <c r="D72" s="197" t="s">
        <v>1980</v>
      </c>
      <c r="E72" s="204"/>
      <c r="F72" s="201" t="s">
        <v>1980</v>
      </c>
      <c r="G72" s="201"/>
      <c r="H72" s="203" t="s">
        <v>1980</v>
      </c>
      <c r="I72" s="204"/>
      <c r="J72" s="203" t="s">
        <v>1980</v>
      </c>
      <c r="K72" s="204"/>
      <c r="L72" s="214">
        <v>1.194</v>
      </c>
      <c r="M72" s="151">
        <f>L72/L45</f>
        <v>0.0004991334433093469</v>
      </c>
      <c r="N72" s="214" t="s">
        <v>1980</v>
      </c>
      <c r="O72" s="151"/>
      <c r="P72" s="214" t="s">
        <v>1980</v>
      </c>
      <c r="Q72" s="151"/>
      <c r="R72" s="214" t="s">
        <v>1980</v>
      </c>
      <c r="S72" s="151"/>
      <c r="T72" s="214" t="s">
        <v>1980</v>
      </c>
      <c r="U72" s="151"/>
      <c r="V72" s="150">
        <f t="shared" si="49"/>
        <v>1.194</v>
      </c>
      <c r="W72" s="151">
        <f t="shared" si="50"/>
        <v>4.0738537871090876E-05</v>
      </c>
      <c r="X72" s="195"/>
    </row>
    <row r="73" spans="1:24" ht="15" customHeight="1" thickBot="1">
      <c r="A73" s="186" t="s">
        <v>929</v>
      </c>
      <c r="B73" s="213"/>
      <c r="C73" s="202"/>
      <c r="D73" s="197" t="s">
        <v>1980</v>
      </c>
      <c r="E73" s="204"/>
      <c r="F73" s="201" t="s">
        <v>1980</v>
      </c>
      <c r="G73" s="201"/>
      <c r="H73" s="203" t="s">
        <v>1980</v>
      </c>
      <c r="I73" s="204"/>
      <c r="J73" s="203" t="s">
        <v>1980</v>
      </c>
      <c r="K73" s="204"/>
      <c r="L73" s="214">
        <v>0.058</v>
      </c>
      <c r="M73" s="151">
        <f>L73/L46</f>
        <v>0.00024212123920488876</v>
      </c>
      <c r="N73" s="214" t="s">
        <v>1980</v>
      </c>
      <c r="O73" s="151"/>
      <c r="P73" s="214" t="s">
        <v>1980</v>
      </c>
      <c r="Q73" s="151"/>
      <c r="R73" s="214" t="s">
        <v>1980</v>
      </c>
      <c r="S73" s="151"/>
      <c r="T73" s="214" t="s">
        <v>1980</v>
      </c>
      <c r="U73" s="151"/>
      <c r="V73" s="150">
        <f t="shared" si="49"/>
        <v>0.058</v>
      </c>
      <c r="W73" s="151">
        <f t="shared" si="50"/>
        <v>1.2033626648459907E-05</v>
      </c>
      <c r="X73" s="195"/>
    </row>
    <row r="74" spans="1:24" ht="15" customHeight="1" thickBot="1">
      <c r="A74" s="191" t="s">
        <v>2037</v>
      </c>
      <c r="B74" s="213"/>
      <c r="C74" s="202"/>
      <c r="D74" s="187">
        <v>344.43</v>
      </c>
      <c r="E74" s="151">
        <f aca="true" t="shared" si="51" ref="E74:G75">D74/D47</f>
        <v>0.024708353479456695</v>
      </c>
      <c r="F74" s="196">
        <v>397.12</v>
      </c>
      <c r="G74" s="151">
        <f t="shared" si="51"/>
        <v>0.041918103687140114</v>
      </c>
      <c r="H74" s="187">
        <v>100.95</v>
      </c>
      <c r="I74" s="151">
        <f aca="true" t="shared" si="52" ref="I74:K75">H74/H47</f>
        <v>0.0038909291053060018</v>
      </c>
      <c r="J74" s="203" t="s">
        <v>1980</v>
      </c>
      <c r="K74" s="204"/>
      <c r="L74" s="203" t="s">
        <v>1980</v>
      </c>
      <c r="M74" s="204"/>
      <c r="N74" s="203" t="s">
        <v>1980</v>
      </c>
      <c r="O74" s="204"/>
      <c r="P74" s="203" t="s">
        <v>1980</v>
      </c>
      <c r="Q74" s="204"/>
      <c r="R74" s="203" t="s">
        <v>1980</v>
      </c>
      <c r="S74" s="204"/>
      <c r="T74" s="203" t="s">
        <v>1980</v>
      </c>
      <c r="U74" s="204"/>
      <c r="V74" s="164">
        <f t="shared" si="49"/>
        <v>842.5</v>
      </c>
      <c r="W74" s="212">
        <f t="shared" si="50"/>
        <v>1.0722002261900677E-05</v>
      </c>
      <c r="X74" s="195"/>
    </row>
    <row r="75" spans="1:24" ht="15" customHeight="1" thickBot="1">
      <c r="A75" s="191" t="s">
        <v>2038</v>
      </c>
      <c r="B75" s="187"/>
      <c r="C75" s="194"/>
      <c r="D75" s="187">
        <v>532.031</v>
      </c>
      <c r="E75" s="151">
        <f t="shared" si="51"/>
        <v>0.00241234609595915</v>
      </c>
      <c r="F75" s="203" t="s">
        <v>1980</v>
      </c>
      <c r="G75" s="194"/>
      <c r="H75" s="187">
        <v>2154.864</v>
      </c>
      <c r="I75" s="151">
        <f t="shared" si="52"/>
        <v>0.011419295513772486</v>
      </c>
      <c r="J75" s="196">
        <v>899.794</v>
      </c>
      <c r="K75" s="151">
        <f t="shared" si="52"/>
        <v>0.006308303294027533</v>
      </c>
      <c r="L75" s="187">
        <v>1143</v>
      </c>
      <c r="M75" s="151">
        <f>L75/L48</f>
        <v>0.016110315184489618</v>
      </c>
      <c r="N75" s="187">
        <v>1701.517</v>
      </c>
      <c r="O75" s="151">
        <f>N75/N48</f>
        <v>0.01986886395882379</v>
      </c>
      <c r="P75" s="187">
        <v>1175</v>
      </c>
      <c r="Q75" s="151">
        <f>P75/P48</f>
        <v>0.014825733283922634</v>
      </c>
      <c r="R75" s="187">
        <v>3261.685</v>
      </c>
      <c r="S75" s="151">
        <f>R75/R48</f>
        <v>0.04645896936747091</v>
      </c>
      <c r="T75" s="187">
        <v>1186.036</v>
      </c>
      <c r="U75" s="151">
        <f>T75/T48</f>
        <v>0.02521978765876786</v>
      </c>
      <c r="V75" s="164">
        <f t="shared" si="49"/>
        <v>12053.927</v>
      </c>
      <c r="W75" s="151">
        <f t="shared" si="50"/>
        <v>0.008865651911865998</v>
      </c>
      <c r="X75" s="195"/>
    </row>
    <row r="76" spans="1:24" ht="15" customHeight="1" thickBot="1">
      <c r="A76" s="190" t="s">
        <v>2043</v>
      </c>
      <c r="B76" s="187"/>
      <c r="C76" s="194"/>
      <c r="D76" s="197" t="s">
        <v>1980</v>
      </c>
      <c r="E76" s="194"/>
      <c r="F76" s="203" t="s">
        <v>1980</v>
      </c>
      <c r="G76" s="194"/>
      <c r="H76" s="203" t="s">
        <v>1980</v>
      </c>
      <c r="I76" s="194"/>
      <c r="J76" s="203" t="s">
        <v>1980</v>
      </c>
      <c r="K76" s="194"/>
      <c r="L76" s="203" t="s">
        <v>1980</v>
      </c>
      <c r="M76" s="194"/>
      <c r="N76" s="203" t="s">
        <v>1980</v>
      </c>
      <c r="O76" s="194"/>
      <c r="P76" s="203" t="s">
        <v>1980</v>
      </c>
      <c r="Q76" s="194"/>
      <c r="R76" s="203" t="s">
        <v>1980</v>
      </c>
      <c r="S76" s="194"/>
      <c r="T76" s="455" t="s">
        <v>1980</v>
      </c>
      <c r="U76" s="194"/>
      <c r="V76" s="197" t="s">
        <v>1980</v>
      </c>
      <c r="W76" s="197"/>
      <c r="X76" s="195"/>
    </row>
    <row r="77" ht="12" customHeight="1"/>
    <row r="78" ht="12" customHeight="1">
      <c r="A78" s="158" t="s">
        <v>1230</v>
      </c>
    </row>
    <row r="79" ht="12" customHeight="1">
      <c r="A79" s="215" t="s">
        <v>2044</v>
      </c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/>
  <mergeCells count="12">
    <mergeCell ref="V2:W2"/>
    <mergeCell ref="H2:I2"/>
    <mergeCell ref="J2:K2"/>
    <mergeCell ref="L2:M2"/>
    <mergeCell ref="N2:O2"/>
    <mergeCell ref="P2:Q2"/>
    <mergeCell ref="R2:S2"/>
    <mergeCell ref="T2:U2"/>
    <mergeCell ref="A2:A3"/>
    <mergeCell ref="B2:C2"/>
    <mergeCell ref="D2:E2"/>
    <mergeCell ref="F2:G2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landscape" paperSize="9" scale="90" r:id="rId1"/>
  <rowBreaks count="3" manualBreakCount="3">
    <brk id="21" max="255" man="1"/>
    <brk id="40" max="255" man="1"/>
    <brk id="5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/>
  <cols>
    <col min="1" max="1" width="25.7109375" style="142" customWidth="1"/>
    <col min="2" max="2" width="7.7109375" style="142" customWidth="1"/>
    <col min="3" max="3" width="6.7109375" style="142" customWidth="1"/>
    <col min="4" max="4" width="7.7109375" style="142" customWidth="1"/>
    <col min="5" max="5" width="6.7109375" style="142" customWidth="1"/>
    <col min="6" max="6" width="7.7109375" style="142" customWidth="1"/>
    <col min="7" max="7" width="6.7109375" style="142" customWidth="1"/>
    <col min="8" max="8" width="7.7109375" style="142" customWidth="1"/>
    <col min="9" max="9" width="6.7109375" style="142" customWidth="1"/>
    <col min="10" max="10" width="7.7109375" style="142" customWidth="1"/>
    <col min="11" max="11" width="6.7109375" style="142" customWidth="1"/>
    <col min="12" max="12" width="7.7109375" style="142" customWidth="1"/>
    <col min="13" max="13" width="6.7109375" style="142" customWidth="1"/>
    <col min="14" max="14" width="8.7109375" style="142" customWidth="1"/>
    <col min="15" max="15" width="6.7109375" style="142" customWidth="1"/>
    <col min="16" max="16" width="8.7109375" style="142" customWidth="1"/>
    <col min="17" max="17" width="6.7109375" style="142" customWidth="1"/>
    <col min="18" max="18" width="8.7109375" style="142" customWidth="1"/>
    <col min="19" max="19" width="6.7109375" style="142" customWidth="1"/>
    <col min="20" max="20" width="8.7109375" style="142" customWidth="1"/>
    <col min="21" max="21" width="6.7109375" style="142" customWidth="1"/>
    <col min="22" max="22" width="8.7109375" style="142" customWidth="1"/>
    <col min="23" max="23" width="6.7109375" style="142" customWidth="1"/>
    <col min="24" max="24" width="8.7109375" style="142" customWidth="1"/>
    <col min="25" max="25" width="6.7109375" style="142" customWidth="1"/>
    <col min="26" max="26" width="8.7109375" style="142" customWidth="1"/>
    <col min="27" max="27" width="6.7109375" style="142" customWidth="1"/>
    <col min="28" max="28" width="8.7109375" style="142" customWidth="1"/>
    <col min="29" max="29" width="6.7109375" style="142" customWidth="1"/>
    <col min="30" max="16384" width="9.140625" style="142" customWidth="1"/>
  </cols>
  <sheetData>
    <row r="1" spans="1:29" ht="30" customHeight="1" thickBot="1">
      <c r="A1" s="140" t="s">
        <v>936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AC1" s="122" t="s">
        <v>2046</v>
      </c>
    </row>
    <row r="2" spans="1:29" ht="13.5" thickBot="1">
      <c r="A2" s="724" t="s">
        <v>2135</v>
      </c>
      <c r="B2" s="722">
        <v>2000</v>
      </c>
      <c r="C2" s="723"/>
      <c r="D2" s="722">
        <f>B2+1</f>
        <v>2001</v>
      </c>
      <c r="E2" s="723"/>
      <c r="F2" s="722">
        <f>D2+1</f>
        <v>2002</v>
      </c>
      <c r="G2" s="723"/>
      <c r="H2" s="722">
        <f>F2+1</f>
        <v>2003</v>
      </c>
      <c r="I2" s="723"/>
      <c r="J2" s="722">
        <f>H2+1</f>
        <v>2004</v>
      </c>
      <c r="K2" s="723"/>
      <c r="L2" s="722">
        <f>J2+1</f>
        <v>2005</v>
      </c>
      <c r="M2" s="723"/>
      <c r="N2" s="722">
        <f>L2+1</f>
        <v>2006</v>
      </c>
      <c r="O2" s="723"/>
      <c r="P2" s="722">
        <f>N2+1</f>
        <v>2007</v>
      </c>
      <c r="Q2" s="723"/>
      <c r="R2" s="722">
        <f>P2+1</f>
        <v>2008</v>
      </c>
      <c r="S2" s="723"/>
      <c r="T2" s="722">
        <f>R2+1</f>
        <v>2009</v>
      </c>
      <c r="U2" s="723"/>
      <c r="V2" s="722">
        <f>T2+1</f>
        <v>2010</v>
      </c>
      <c r="W2" s="723"/>
      <c r="X2" s="722">
        <f>V2+1</f>
        <v>2011</v>
      </c>
      <c r="Y2" s="723"/>
      <c r="Z2" s="722">
        <f>X2+1</f>
        <v>2012</v>
      </c>
      <c r="AA2" s="723"/>
      <c r="AB2" s="722">
        <f>Z2+1</f>
        <v>2013</v>
      </c>
      <c r="AC2" s="723"/>
    </row>
    <row r="3" spans="1:29" ht="13.5" thickBot="1">
      <c r="A3" s="725"/>
      <c r="B3" s="143" t="s">
        <v>937</v>
      </c>
      <c r="C3" s="144" t="s">
        <v>3031</v>
      </c>
      <c r="D3" s="143" t="s">
        <v>937</v>
      </c>
      <c r="E3" s="144" t="s">
        <v>3031</v>
      </c>
      <c r="F3" s="143" t="s">
        <v>937</v>
      </c>
      <c r="G3" s="144" t="s">
        <v>3031</v>
      </c>
      <c r="H3" s="143" t="s">
        <v>937</v>
      </c>
      <c r="I3" s="144" t="s">
        <v>3031</v>
      </c>
      <c r="J3" s="143" t="s">
        <v>937</v>
      </c>
      <c r="K3" s="144" t="s">
        <v>3031</v>
      </c>
      <c r="L3" s="143" t="s">
        <v>937</v>
      </c>
      <c r="M3" s="144" t="s">
        <v>3031</v>
      </c>
      <c r="N3" s="143" t="s">
        <v>937</v>
      </c>
      <c r="O3" s="144" t="s">
        <v>3031</v>
      </c>
      <c r="P3" s="143" t="s">
        <v>937</v>
      </c>
      <c r="Q3" s="144" t="s">
        <v>3031</v>
      </c>
      <c r="R3" s="143" t="s">
        <v>937</v>
      </c>
      <c r="S3" s="144" t="s">
        <v>3031</v>
      </c>
      <c r="T3" s="143" t="s">
        <v>937</v>
      </c>
      <c r="U3" s="144" t="s">
        <v>3031</v>
      </c>
      <c r="V3" s="143" t="s">
        <v>937</v>
      </c>
      <c r="W3" s="144" t="s">
        <v>3031</v>
      </c>
      <c r="X3" s="143" t="s">
        <v>937</v>
      </c>
      <c r="Y3" s="144" t="s">
        <v>3031</v>
      </c>
      <c r="Z3" s="143" t="s">
        <v>937</v>
      </c>
      <c r="AA3" s="144" t="s">
        <v>3031</v>
      </c>
      <c r="AB3" s="143" t="s">
        <v>937</v>
      </c>
      <c r="AC3" s="144" t="s">
        <v>3031</v>
      </c>
    </row>
    <row r="4" spans="1:29" ht="13.5" customHeight="1" thickBot="1">
      <c r="A4" s="163" t="s">
        <v>938</v>
      </c>
      <c r="B4" s="161">
        <v>433282</v>
      </c>
      <c r="C4" s="147">
        <v>1</v>
      </c>
      <c r="D4" s="161">
        <v>608376</v>
      </c>
      <c r="E4" s="147">
        <v>1</v>
      </c>
      <c r="F4" s="161">
        <v>473533</v>
      </c>
      <c r="G4" s="147">
        <v>1</v>
      </c>
      <c r="H4" s="161">
        <v>569750</v>
      </c>
      <c r="I4" s="147">
        <v>1</v>
      </c>
      <c r="J4" s="161">
        <f>655232+3691</f>
        <v>658923</v>
      </c>
      <c r="K4" s="147">
        <v>1</v>
      </c>
      <c r="L4" s="161">
        <f>629944+9376</f>
        <v>639320</v>
      </c>
      <c r="M4" s="147">
        <v>1</v>
      </c>
      <c r="N4" s="161">
        <f>1010095+28449</f>
        <v>1038544</v>
      </c>
      <c r="O4" s="147">
        <v>1</v>
      </c>
      <c r="P4" s="161">
        <f>1164817+32605</f>
        <v>1197422</v>
      </c>
      <c r="Q4" s="147">
        <v>1</v>
      </c>
      <c r="R4" s="161">
        <f>1685584+14745</f>
        <v>1700329</v>
      </c>
      <c r="S4" s="147">
        <v>1</v>
      </c>
      <c r="T4" s="161">
        <v>1280563</v>
      </c>
      <c r="U4" s="147">
        <v>1</v>
      </c>
      <c r="V4" s="161">
        <v>1273777</v>
      </c>
      <c r="W4" s="147">
        <v>1</v>
      </c>
      <c r="X4" s="161">
        <v>1438165</v>
      </c>
      <c r="Y4" s="147">
        <v>1</v>
      </c>
      <c r="Z4" s="161">
        <v>1693583</v>
      </c>
      <c r="AA4" s="147">
        <v>1</v>
      </c>
      <c r="AB4" s="161">
        <v>2098906</v>
      </c>
      <c r="AC4" s="147">
        <v>1</v>
      </c>
    </row>
    <row r="5" spans="1:29" ht="36.75" customHeight="1" thickBot="1">
      <c r="A5" s="149" t="s">
        <v>939</v>
      </c>
      <c r="B5" s="164">
        <v>180268</v>
      </c>
      <c r="C5" s="151">
        <f>B5/B$4</f>
        <v>0.4160523631260934</v>
      </c>
      <c r="D5" s="164">
        <v>303212</v>
      </c>
      <c r="E5" s="151">
        <f>D5/D$4</f>
        <v>0.49839572895709233</v>
      </c>
      <c r="F5" s="164">
        <v>220627</v>
      </c>
      <c r="G5" s="151">
        <f>F5/F$4</f>
        <v>0.4659168421208237</v>
      </c>
      <c r="H5" s="164">
        <v>274150</v>
      </c>
      <c r="I5" s="151">
        <f>H5/H$4</f>
        <v>0.48117595436594995</v>
      </c>
      <c r="J5" s="164">
        <v>324735</v>
      </c>
      <c r="K5" s="151">
        <f>J5/J$4</f>
        <v>0.49282693121958104</v>
      </c>
      <c r="L5" s="164">
        <v>320435</v>
      </c>
      <c r="M5" s="151">
        <f>L5/L$4</f>
        <v>0.5012122254895827</v>
      </c>
      <c r="N5" s="164">
        <v>608698</v>
      </c>
      <c r="O5" s="151">
        <f>N5/N$4</f>
        <v>0.5861070883852778</v>
      </c>
      <c r="P5" s="164">
        <v>632975</v>
      </c>
      <c r="Q5" s="151">
        <f>P5/P$4</f>
        <v>0.5286148074780653</v>
      </c>
      <c r="R5" s="164">
        <v>835826</v>
      </c>
      <c r="S5" s="151">
        <f aca="true" t="shared" si="0" ref="S5:U6">R5/R$4</f>
        <v>0.4915672202262033</v>
      </c>
      <c r="T5" s="164">
        <v>545291</v>
      </c>
      <c r="U5" s="151">
        <f t="shared" si="0"/>
        <v>0.4258212989130562</v>
      </c>
      <c r="V5" s="164">
        <v>545564</v>
      </c>
      <c r="W5" s="151">
        <f>V5/V$4</f>
        <v>0.42830416941112925</v>
      </c>
      <c r="X5" s="164">
        <v>511813</v>
      </c>
      <c r="Y5" s="151">
        <f>X5/X$4</f>
        <v>0.35587919327754464</v>
      </c>
      <c r="Z5" s="164">
        <v>413573</v>
      </c>
      <c r="AA5" s="151">
        <f aca="true" t="shared" si="1" ref="AA5:AC8">Z5/Z$4</f>
        <v>0.24420001854057344</v>
      </c>
      <c r="AB5" s="164">
        <v>743585</v>
      </c>
      <c r="AC5" s="151">
        <f t="shared" si="1"/>
        <v>0.35427265442092215</v>
      </c>
    </row>
    <row r="6" spans="1:29" ht="36.75" customHeight="1" thickBot="1">
      <c r="A6" s="165" t="s">
        <v>940</v>
      </c>
      <c r="B6" s="164">
        <v>253014</v>
      </c>
      <c r="C6" s="151">
        <f>B6/B$4</f>
        <v>0.5839476368739066</v>
      </c>
      <c r="D6" s="164">
        <v>305164</v>
      </c>
      <c r="E6" s="151">
        <f>D6/D$4</f>
        <v>0.5016042710429077</v>
      </c>
      <c r="F6" s="164">
        <v>252906</v>
      </c>
      <c r="G6" s="151">
        <f>F6/F$4</f>
        <v>0.5340831578791764</v>
      </c>
      <c r="H6" s="164">
        <v>295600</v>
      </c>
      <c r="I6" s="151">
        <f>H6/H$4</f>
        <v>0.51882404563405</v>
      </c>
      <c r="J6" s="164">
        <f>330497+3691</f>
        <v>334188</v>
      </c>
      <c r="K6" s="151">
        <f>J6/J$4</f>
        <v>0.507173068780419</v>
      </c>
      <c r="L6" s="164">
        <f>309509+9376</f>
        <v>318885</v>
      </c>
      <c r="M6" s="151">
        <f>L6/L$4</f>
        <v>0.49878777451041734</v>
      </c>
      <c r="N6" s="164">
        <f>401397+28449</f>
        <v>429846</v>
      </c>
      <c r="O6" s="151">
        <f>N6/N$4</f>
        <v>0.41389291161472214</v>
      </c>
      <c r="P6" s="164">
        <f>531842+32605</f>
        <v>564447</v>
      </c>
      <c r="Q6" s="151">
        <f>P6/P$4</f>
        <v>0.4713851925219346</v>
      </c>
      <c r="R6" s="164">
        <f>849758+14745</f>
        <v>864503</v>
      </c>
      <c r="S6" s="151">
        <f t="shared" si="0"/>
        <v>0.5084327797737968</v>
      </c>
      <c r="T6" s="164">
        <v>735272</v>
      </c>
      <c r="U6" s="151">
        <f t="shared" si="0"/>
        <v>0.5741787010869438</v>
      </c>
      <c r="V6" s="164">
        <v>728213</v>
      </c>
      <c r="W6" s="151">
        <f>V6/V$4</f>
        <v>0.5716958305888707</v>
      </c>
      <c r="X6" s="164">
        <v>926352</v>
      </c>
      <c r="Y6" s="151">
        <f>X6/X$4</f>
        <v>0.6441208067224553</v>
      </c>
      <c r="Z6" s="164">
        <v>1280010</v>
      </c>
      <c r="AA6" s="151">
        <f t="shared" si="1"/>
        <v>0.7557999814594265</v>
      </c>
      <c r="AB6" s="164">
        <v>1355321</v>
      </c>
      <c r="AC6" s="151">
        <f t="shared" si="1"/>
        <v>0.6457273455790778</v>
      </c>
    </row>
    <row r="7" spans="1:29" ht="12.75" customHeight="1" thickBot="1">
      <c r="A7" s="166" t="s">
        <v>1979</v>
      </c>
      <c r="B7" s="161">
        <v>291921</v>
      </c>
      <c r="C7" s="151">
        <f>B7/B$4</f>
        <v>0.673743658864204</v>
      </c>
      <c r="D7" s="161">
        <f>409120+37655</f>
        <v>446775</v>
      </c>
      <c r="E7" s="151">
        <f>D7/D$4</f>
        <v>0.7343731508146278</v>
      </c>
      <c r="F7" s="161">
        <v>332149</v>
      </c>
      <c r="G7" s="151">
        <f>F7/F$4</f>
        <v>0.7014273556436404</v>
      </c>
      <c r="H7" s="161">
        <v>381234</v>
      </c>
      <c r="I7" s="151">
        <f>H7/H$4</f>
        <v>0.6691250548486178</v>
      </c>
      <c r="J7" s="161">
        <v>390998</v>
      </c>
      <c r="K7" s="151">
        <f>J7/J$4</f>
        <v>0.5933895159221942</v>
      </c>
      <c r="L7" s="161">
        <v>331705</v>
      </c>
      <c r="M7" s="151">
        <f>L7/L$4</f>
        <v>0.518840330350998</v>
      </c>
      <c r="N7" s="161">
        <v>665065</v>
      </c>
      <c r="O7" s="151">
        <f>N7/N$4</f>
        <v>0.6403821118797085</v>
      </c>
      <c r="P7" s="161">
        <v>591391</v>
      </c>
      <c r="Q7" s="151">
        <f>P7/P$4</f>
        <v>0.49388686695250295</v>
      </c>
      <c r="R7" s="161">
        <v>1210086</v>
      </c>
      <c r="S7" s="151">
        <f>R7/R$4</f>
        <v>0.7116775635774018</v>
      </c>
      <c r="T7" s="161">
        <v>759373</v>
      </c>
      <c r="U7" s="151">
        <f aca="true" t="shared" si="2" ref="U7:W8">T7/T$4</f>
        <v>0.5929993292012966</v>
      </c>
      <c r="V7" s="161">
        <v>607950</v>
      </c>
      <c r="W7" s="151">
        <f t="shared" si="2"/>
        <v>0.477281345164813</v>
      </c>
      <c r="X7" s="161">
        <v>922780</v>
      </c>
      <c r="Y7" s="151">
        <f>X7/X$4</f>
        <v>0.6416370861479733</v>
      </c>
      <c r="Z7" s="161">
        <v>985983</v>
      </c>
      <c r="AA7" s="151">
        <f t="shared" si="1"/>
        <v>0.582187586908938</v>
      </c>
      <c r="AB7" s="161">
        <v>1106381</v>
      </c>
      <c r="AC7" s="151">
        <f t="shared" si="1"/>
        <v>0.5271227010642687</v>
      </c>
    </row>
    <row r="8" spans="1:29" ht="13.5" thickBot="1">
      <c r="A8" s="167" t="s">
        <v>2969</v>
      </c>
      <c r="B8" s="164">
        <v>16985</v>
      </c>
      <c r="C8" s="151">
        <f>B8/B$4</f>
        <v>0.03920079763295037</v>
      </c>
      <c r="D8" s="164">
        <v>25338</v>
      </c>
      <c r="E8" s="151">
        <f>D8/D$4</f>
        <v>0.041648585743027336</v>
      </c>
      <c r="F8" s="164">
        <v>21635</v>
      </c>
      <c r="G8" s="151">
        <f>F8/F$4</f>
        <v>0.04568847366498217</v>
      </c>
      <c r="H8" s="164">
        <v>20840</v>
      </c>
      <c r="I8" s="151">
        <f>H8/H$4</f>
        <v>0.036577446248354545</v>
      </c>
      <c r="J8" s="164">
        <v>34160</v>
      </c>
      <c r="K8" s="151">
        <f>J8/J$4</f>
        <v>0.05184217275766668</v>
      </c>
      <c r="L8" s="164">
        <v>24911</v>
      </c>
      <c r="M8" s="151">
        <f>L8/L$4</f>
        <v>0.03896483763999249</v>
      </c>
      <c r="N8" s="164">
        <v>34905</v>
      </c>
      <c r="O8" s="151">
        <f>N8/N$4</f>
        <v>0.03360955337472461</v>
      </c>
      <c r="P8" s="164">
        <v>41569</v>
      </c>
      <c r="Q8" s="151">
        <f>P8/P$4</f>
        <v>0.03471541361357984</v>
      </c>
      <c r="R8" s="164">
        <v>31033</v>
      </c>
      <c r="S8" s="151">
        <f>R8/R$4</f>
        <v>0.018251173743434358</v>
      </c>
      <c r="T8" s="164">
        <v>25220</v>
      </c>
      <c r="U8" s="151">
        <f t="shared" si="2"/>
        <v>0.019694462513753716</v>
      </c>
      <c r="V8" s="164">
        <v>29289</v>
      </c>
      <c r="W8" s="151">
        <f t="shared" si="2"/>
        <v>0.022993820739422993</v>
      </c>
      <c r="X8" s="164">
        <v>36349</v>
      </c>
      <c r="Y8" s="151">
        <f>X8/X$4</f>
        <v>0.025274568634336116</v>
      </c>
      <c r="Z8" s="164">
        <v>36581</v>
      </c>
      <c r="AA8" s="151">
        <f t="shared" si="1"/>
        <v>0.021599768065692675</v>
      </c>
      <c r="AB8" s="164">
        <v>42698</v>
      </c>
      <c r="AC8" s="151">
        <f t="shared" si="1"/>
        <v>0.02034297867555765</v>
      </c>
    </row>
    <row r="9" spans="1:29" ht="13.5" thickBot="1">
      <c r="A9" s="168" t="s">
        <v>1640</v>
      </c>
      <c r="B9" s="164">
        <v>11559</v>
      </c>
      <c r="C9" s="151">
        <f>B9/B$8</f>
        <v>0.680541654400942</v>
      </c>
      <c r="D9" s="164">
        <v>12448</v>
      </c>
      <c r="E9" s="151">
        <f aca="true" t="shared" si="3" ref="E9:G19">D9/D$8</f>
        <v>0.49127792248796276</v>
      </c>
      <c r="F9" s="164">
        <v>14009</v>
      </c>
      <c r="G9" s="151">
        <f t="shared" si="3"/>
        <v>0.6475155997226716</v>
      </c>
      <c r="H9" s="164">
        <v>15723</v>
      </c>
      <c r="I9" s="151">
        <f aca="true" t="shared" si="4" ref="I9:I19">H9/H$8</f>
        <v>0.7544625719769674</v>
      </c>
      <c r="J9" s="164">
        <v>17361</v>
      </c>
      <c r="K9" s="151">
        <f aca="true" t="shared" si="5" ref="K9:K19">J9/J$8</f>
        <v>0.5082259953161592</v>
      </c>
      <c r="L9" s="164">
        <v>12216</v>
      </c>
      <c r="M9" s="151">
        <f aca="true" t="shared" si="6" ref="M9:M19">L9/L$8</f>
        <v>0.49038577335313716</v>
      </c>
      <c r="N9" s="164">
        <v>14114</v>
      </c>
      <c r="O9" s="151">
        <f aca="true" t="shared" si="7" ref="O9:O15">N9/N$8</f>
        <v>0.4043546769803753</v>
      </c>
      <c r="P9" s="164">
        <v>14864</v>
      </c>
      <c r="Q9" s="151">
        <f aca="true" t="shared" si="8" ref="Q9:Q19">P9/P$8</f>
        <v>0.357574153816546</v>
      </c>
      <c r="R9" s="164">
        <v>18119</v>
      </c>
      <c r="S9" s="151">
        <f aca="true" t="shared" si="9" ref="S9:S15">R9/R$8</f>
        <v>0.583862340089582</v>
      </c>
      <c r="T9" s="164">
        <v>14791</v>
      </c>
      <c r="U9" s="151">
        <f aca="true" t="shared" si="10" ref="U9:W16">T9/T$8</f>
        <v>0.5864789849325932</v>
      </c>
      <c r="V9" s="164">
        <v>16905</v>
      </c>
      <c r="W9" s="151">
        <f t="shared" si="10"/>
        <v>0.5771791457543788</v>
      </c>
      <c r="X9" s="443">
        <v>20464</v>
      </c>
      <c r="Y9" s="151">
        <f aca="true" t="shared" si="11" ref="Y9:Y20">X9/X$8</f>
        <v>0.5629866021073482</v>
      </c>
      <c r="Z9" s="164">
        <v>22730</v>
      </c>
      <c r="AA9" s="151">
        <f aca="true" t="shared" si="12" ref="AA9:AC20">Z9/Z$8</f>
        <v>0.6213608157240097</v>
      </c>
      <c r="AB9" s="164">
        <v>27484</v>
      </c>
      <c r="AC9" s="151">
        <f t="shared" si="12"/>
        <v>0.6436835448967164</v>
      </c>
    </row>
    <row r="10" spans="1:29" ht="24.75" customHeight="1" thickBot="1">
      <c r="A10" s="169" t="s">
        <v>941</v>
      </c>
      <c r="B10" s="164">
        <v>1463</v>
      </c>
      <c r="C10" s="151">
        <f aca="true" t="shared" si="13" ref="C10:C17">B10/B$8</f>
        <v>0.08613482484545187</v>
      </c>
      <c r="D10" s="164">
        <v>2447</v>
      </c>
      <c r="E10" s="151">
        <f t="shared" si="3"/>
        <v>0.09657431525771569</v>
      </c>
      <c r="F10" s="164">
        <v>530</v>
      </c>
      <c r="G10" s="151">
        <f t="shared" si="3"/>
        <v>0.024497342269470763</v>
      </c>
      <c r="H10" s="164">
        <v>1026</v>
      </c>
      <c r="I10" s="151">
        <f t="shared" si="4"/>
        <v>0.04923224568138196</v>
      </c>
      <c r="J10" s="164">
        <v>5319</v>
      </c>
      <c r="K10" s="151">
        <f t="shared" si="5"/>
        <v>0.15570843091334893</v>
      </c>
      <c r="L10" s="164">
        <v>2447</v>
      </c>
      <c r="M10" s="151">
        <f t="shared" si="6"/>
        <v>0.09822969772389707</v>
      </c>
      <c r="N10" s="164">
        <v>13662</v>
      </c>
      <c r="O10" s="151">
        <f t="shared" si="7"/>
        <v>0.3914052428018909</v>
      </c>
      <c r="P10" s="164">
        <v>14377</v>
      </c>
      <c r="Q10" s="151">
        <f t="shared" si="8"/>
        <v>0.3458586927758666</v>
      </c>
      <c r="R10" s="164">
        <v>17933</v>
      </c>
      <c r="S10" s="151">
        <f t="shared" si="9"/>
        <v>0.5778687203944188</v>
      </c>
      <c r="T10" s="164">
        <v>14624</v>
      </c>
      <c r="U10" s="151">
        <f t="shared" si="10"/>
        <v>0.579857256145916</v>
      </c>
      <c r="V10" s="164">
        <v>16873</v>
      </c>
      <c r="W10" s="151">
        <f t="shared" si="10"/>
        <v>0.5760865854074909</v>
      </c>
      <c r="X10" s="443">
        <v>20242</v>
      </c>
      <c r="Y10" s="151">
        <f t="shared" si="11"/>
        <v>0.5568791438554018</v>
      </c>
      <c r="Z10" s="164">
        <v>21608</v>
      </c>
      <c r="AA10" s="151">
        <f t="shared" si="12"/>
        <v>0.590689155572565</v>
      </c>
      <c r="AB10" s="164">
        <v>25655</v>
      </c>
      <c r="AC10" s="151">
        <f t="shared" si="12"/>
        <v>0.6008478148859432</v>
      </c>
    </row>
    <row r="11" spans="1:29" ht="24.75" customHeight="1" thickBot="1">
      <c r="A11" s="168" t="s">
        <v>1641</v>
      </c>
      <c r="B11" s="164">
        <v>333</v>
      </c>
      <c r="C11" s="151">
        <f t="shared" si="13"/>
        <v>0.019605534294966146</v>
      </c>
      <c r="D11" s="164">
        <v>395</v>
      </c>
      <c r="E11" s="151">
        <f t="shared" si="3"/>
        <v>0.015589233562238534</v>
      </c>
      <c r="F11" s="164">
        <v>249</v>
      </c>
      <c r="G11" s="151">
        <f t="shared" si="3"/>
        <v>0.011509128726600416</v>
      </c>
      <c r="H11" s="164">
        <v>135</v>
      </c>
      <c r="I11" s="151">
        <f t="shared" si="4"/>
        <v>0.0064779270633397315</v>
      </c>
      <c r="J11" s="164">
        <v>9</v>
      </c>
      <c r="K11" s="151">
        <f t="shared" si="5"/>
        <v>0.00026346604215456674</v>
      </c>
      <c r="L11" s="164">
        <v>8</v>
      </c>
      <c r="M11" s="151">
        <f t="shared" si="6"/>
        <v>0.0003211432700413472</v>
      </c>
      <c r="N11" s="170">
        <v>87</v>
      </c>
      <c r="O11" s="151">
        <f t="shared" si="7"/>
        <v>0.0024924795874516543</v>
      </c>
      <c r="P11" s="170">
        <v>67</v>
      </c>
      <c r="Q11" s="151">
        <f t="shared" si="8"/>
        <v>0.0016117780076499314</v>
      </c>
      <c r="R11" s="170">
        <v>324</v>
      </c>
      <c r="S11" s="151">
        <f t="shared" si="9"/>
        <v>0.010440498823832694</v>
      </c>
      <c r="T11" s="164">
        <v>178</v>
      </c>
      <c r="U11" s="151">
        <f t="shared" si="10"/>
        <v>0.007057890563045202</v>
      </c>
      <c r="V11" s="443">
        <v>120</v>
      </c>
      <c r="W11" s="151">
        <f t="shared" si="10"/>
        <v>0.004097101300829663</v>
      </c>
      <c r="X11" s="443">
        <v>33</v>
      </c>
      <c r="Y11" s="151">
        <f t="shared" si="11"/>
        <v>0.0009078654158298715</v>
      </c>
      <c r="Z11" s="443">
        <v>91</v>
      </c>
      <c r="AA11" s="151">
        <f t="shared" si="12"/>
        <v>0.0024876301905360707</v>
      </c>
      <c r="AB11" s="164">
        <v>372</v>
      </c>
      <c r="AC11" s="151">
        <f t="shared" si="12"/>
        <v>0.008712351866597967</v>
      </c>
    </row>
    <row r="12" spans="1:29" ht="13.5" customHeight="1" thickBot="1">
      <c r="A12" s="168" t="s">
        <v>1642</v>
      </c>
      <c r="B12" s="164">
        <v>531</v>
      </c>
      <c r="C12" s="151">
        <f t="shared" si="13"/>
        <v>0.03126287901089196</v>
      </c>
      <c r="D12" s="164">
        <v>2018</v>
      </c>
      <c r="E12" s="151">
        <f t="shared" si="3"/>
        <v>0.07964322361670219</v>
      </c>
      <c r="F12" s="164">
        <v>1267</v>
      </c>
      <c r="G12" s="151">
        <f t="shared" si="3"/>
        <v>0.05856251444418766</v>
      </c>
      <c r="H12" s="164">
        <v>583</v>
      </c>
      <c r="I12" s="151">
        <f t="shared" si="4"/>
        <v>0.027975047984644914</v>
      </c>
      <c r="J12" s="164">
        <v>379</v>
      </c>
      <c r="K12" s="151">
        <f t="shared" si="5"/>
        <v>0.011094847775175644</v>
      </c>
      <c r="L12" s="164">
        <v>214</v>
      </c>
      <c r="M12" s="151">
        <f t="shared" si="6"/>
        <v>0.008590582473606037</v>
      </c>
      <c r="N12" s="170">
        <v>472</v>
      </c>
      <c r="O12" s="151">
        <f t="shared" si="7"/>
        <v>0.013522417991691734</v>
      </c>
      <c r="P12" s="170">
        <v>834</v>
      </c>
      <c r="Q12" s="151">
        <f t="shared" si="8"/>
        <v>0.020063027737015564</v>
      </c>
      <c r="R12" s="170">
        <v>578</v>
      </c>
      <c r="S12" s="151">
        <f t="shared" si="9"/>
        <v>0.018625334321528696</v>
      </c>
      <c r="T12" s="164">
        <v>805</v>
      </c>
      <c r="U12" s="151">
        <f t="shared" si="10"/>
        <v>0.03191911181601903</v>
      </c>
      <c r="V12" s="443">
        <v>139</v>
      </c>
      <c r="W12" s="151">
        <f t="shared" si="10"/>
        <v>0.0047458090067943595</v>
      </c>
      <c r="X12" s="443">
        <v>856</v>
      </c>
      <c r="Y12" s="151">
        <f t="shared" si="11"/>
        <v>0.02354947866516273</v>
      </c>
      <c r="Z12" s="443">
        <v>171</v>
      </c>
      <c r="AA12" s="151">
        <f t="shared" si="12"/>
        <v>0.004674557830567781</v>
      </c>
      <c r="AB12" s="164">
        <v>123</v>
      </c>
      <c r="AC12" s="151">
        <f t="shared" si="12"/>
        <v>0.002880696988149328</v>
      </c>
    </row>
    <row r="13" spans="1:29" ht="24.75" customHeight="1" thickBot="1">
      <c r="A13" s="171" t="s">
        <v>942</v>
      </c>
      <c r="B13" s="164">
        <v>234</v>
      </c>
      <c r="C13" s="151">
        <f t="shared" si="13"/>
        <v>0.013776861937003239</v>
      </c>
      <c r="D13" s="164">
        <v>1974</v>
      </c>
      <c r="E13" s="151">
        <f t="shared" si="3"/>
        <v>0.07790670139711106</v>
      </c>
      <c r="F13" s="164">
        <v>1179</v>
      </c>
      <c r="G13" s="151">
        <f t="shared" si="3"/>
        <v>0.05449503119944534</v>
      </c>
      <c r="H13" s="164">
        <v>559</v>
      </c>
      <c r="I13" s="151">
        <f t="shared" si="4"/>
        <v>0.02682341650671785</v>
      </c>
      <c r="J13" s="164">
        <v>363</v>
      </c>
      <c r="K13" s="151">
        <f t="shared" si="5"/>
        <v>0.010626463700234193</v>
      </c>
      <c r="L13" s="164">
        <v>138</v>
      </c>
      <c r="M13" s="151">
        <f t="shared" si="6"/>
        <v>0.005539721408213239</v>
      </c>
      <c r="N13" s="170">
        <v>466</v>
      </c>
      <c r="O13" s="151">
        <f t="shared" si="7"/>
        <v>0.013350522847729552</v>
      </c>
      <c r="P13" s="170">
        <v>829</v>
      </c>
      <c r="Q13" s="151">
        <f t="shared" si="8"/>
        <v>0.019942745796146168</v>
      </c>
      <c r="R13" s="170">
        <v>573</v>
      </c>
      <c r="S13" s="151">
        <f t="shared" si="9"/>
        <v>0.018464215512518933</v>
      </c>
      <c r="T13" s="164">
        <v>805</v>
      </c>
      <c r="U13" s="151">
        <f t="shared" si="10"/>
        <v>0.03191911181601903</v>
      </c>
      <c r="V13" s="164">
        <v>139</v>
      </c>
      <c r="W13" s="151">
        <f t="shared" si="10"/>
        <v>0.0047458090067943595</v>
      </c>
      <c r="X13" s="443">
        <v>801</v>
      </c>
      <c r="Y13" s="151">
        <f t="shared" si="11"/>
        <v>0.02203636963877961</v>
      </c>
      <c r="Z13" s="443">
        <v>170</v>
      </c>
      <c r="AA13" s="151">
        <f t="shared" si="12"/>
        <v>0.004647221235067385</v>
      </c>
      <c r="AB13" s="164">
        <v>123</v>
      </c>
      <c r="AC13" s="151">
        <f t="shared" si="12"/>
        <v>0.002880696988149328</v>
      </c>
    </row>
    <row r="14" spans="1:29" ht="24.75" customHeight="1" thickBot="1">
      <c r="A14" s="168" t="s">
        <v>1643</v>
      </c>
      <c r="B14" s="164">
        <v>3945</v>
      </c>
      <c r="C14" s="151">
        <f t="shared" si="13"/>
        <v>0.2322637621430674</v>
      </c>
      <c r="D14" s="164">
        <v>9103</v>
      </c>
      <c r="E14" s="151">
        <f t="shared" si="3"/>
        <v>0.3592627673849554</v>
      </c>
      <c r="F14" s="164">
        <v>3653</v>
      </c>
      <c r="G14" s="151">
        <f t="shared" si="3"/>
        <v>0.16884677605731455</v>
      </c>
      <c r="H14" s="164">
        <v>2377</v>
      </c>
      <c r="I14" s="151">
        <f t="shared" si="4"/>
        <v>0.1140595009596929</v>
      </c>
      <c r="J14" s="164">
        <v>5115</v>
      </c>
      <c r="K14" s="151">
        <f t="shared" si="5"/>
        <v>0.14973653395784545</v>
      </c>
      <c r="L14" s="164">
        <v>7085</v>
      </c>
      <c r="M14" s="151">
        <f t="shared" si="6"/>
        <v>0.2844125085303681</v>
      </c>
      <c r="N14" s="164">
        <v>16538</v>
      </c>
      <c r="O14" s="151">
        <f t="shared" si="7"/>
        <v>0.4738003151410973</v>
      </c>
      <c r="P14" s="164">
        <v>20345</v>
      </c>
      <c r="Q14" s="151">
        <f t="shared" si="8"/>
        <v>0.48942721739757994</v>
      </c>
      <c r="R14" s="164">
        <v>10303</v>
      </c>
      <c r="S14" s="151">
        <f t="shared" si="9"/>
        <v>0.3320014178455193</v>
      </c>
      <c r="T14" s="164">
        <v>7757</v>
      </c>
      <c r="U14" s="151">
        <f t="shared" si="10"/>
        <v>0.307573354480571</v>
      </c>
      <c r="V14" s="164">
        <v>9911</v>
      </c>
      <c r="W14" s="151">
        <f t="shared" si="10"/>
        <v>0.33838642493768994</v>
      </c>
      <c r="X14" s="164">
        <v>11447</v>
      </c>
      <c r="Y14" s="151">
        <f t="shared" si="11"/>
        <v>0.31491925500013757</v>
      </c>
      <c r="Z14" s="164">
        <v>8551</v>
      </c>
      <c r="AA14" s="151">
        <f t="shared" si="12"/>
        <v>0.23375522812388946</v>
      </c>
      <c r="AB14" s="164">
        <v>11098</v>
      </c>
      <c r="AC14" s="151">
        <f t="shared" si="12"/>
        <v>0.25991849735350603</v>
      </c>
    </row>
    <row r="15" spans="1:29" ht="13.5" thickBot="1">
      <c r="A15" s="168" t="s">
        <v>1644</v>
      </c>
      <c r="B15" s="164">
        <v>498</v>
      </c>
      <c r="C15" s="151">
        <f t="shared" si="13"/>
        <v>0.029319988224904326</v>
      </c>
      <c r="D15" s="164">
        <v>1332</v>
      </c>
      <c r="E15" s="151">
        <f t="shared" si="3"/>
        <v>0.052569263556713236</v>
      </c>
      <c r="F15" s="164">
        <v>1095</v>
      </c>
      <c r="G15" s="151">
        <f t="shared" si="3"/>
        <v>0.050612433556736766</v>
      </c>
      <c r="H15" s="164">
        <v>1632</v>
      </c>
      <c r="I15" s="151">
        <f t="shared" si="4"/>
        <v>0.0783109404990403</v>
      </c>
      <c r="J15" s="164">
        <v>1020</v>
      </c>
      <c r="K15" s="151">
        <f t="shared" si="5"/>
        <v>0.029859484777517563</v>
      </c>
      <c r="L15" s="164">
        <v>1428</v>
      </c>
      <c r="M15" s="151">
        <f t="shared" si="6"/>
        <v>0.057324073702380476</v>
      </c>
      <c r="N15" s="164">
        <v>1131</v>
      </c>
      <c r="O15" s="151">
        <f t="shared" si="7"/>
        <v>0.03240223463687151</v>
      </c>
      <c r="P15" s="164">
        <v>1264</v>
      </c>
      <c r="Q15" s="151">
        <f t="shared" si="8"/>
        <v>0.03040727465178378</v>
      </c>
      <c r="R15" s="164">
        <v>1685</v>
      </c>
      <c r="S15" s="151">
        <f t="shared" si="9"/>
        <v>0.0542970386362904</v>
      </c>
      <c r="T15" s="164">
        <v>1576</v>
      </c>
      <c r="U15" s="151">
        <f t="shared" si="10"/>
        <v>0.062490087232355274</v>
      </c>
      <c r="V15" s="164">
        <v>1859</v>
      </c>
      <c r="W15" s="151">
        <f t="shared" si="10"/>
        <v>0.06347092765201953</v>
      </c>
      <c r="X15" s="164">
        <v>2642</v>
      </c>
      <c r="Y15" s="151">
        <f t="shared" si="11"/>
        <v>0.07268425541280366</v>
      </c>
      <c r="Z15" s="164">
        <v>3864</v>
      </c>
      <c r="AA15" s="151">
        <f t="shared" si="12"/>
        <v>0.10562860501353162</v>
      </c>
      <c r="AB15" s="164">
        <v>2473</v>
      </c>
      <c r="AC15" s="151">
        <f t="shared" si="12"/>
        <v>0.05791840367230315</v>
      </c>
    </row>
    <row r="16" spans="1:29" ht="13.5" thickBot="1">
      <c r="A16" s="168" t="s">
        <v>1645</v>
      </c>
      <c r="B16" s="164">
        <v>15</v>
      </c>
      <c r="C16" s="151">
        <f t="shared" si="13"/>
        <v>0.0008831321754489255</v>
      </c>
      <c r="D16" s="164">
        <v>5</v>
      </c>
      <c r="E16" s="151">
        <f t="shared" si="3"/>
        <v>0.00019733207040808273</v>
      </c>
      <c r="F16" s="164">
        <v>1</v>
      </c>
      <c r="G16" s="151">
        <f t="shared" si="3"/>
        <v>4.622140050843541E-05</v>
      </c>
      <c r="H16" s="164">
        <v>1</v>
      </c>
      <c r="I16" s="151">
        <f t="shared" si="4"/>
        <v>4.798464491362764E-05</v>
      </c>
      <c r="J16" s="164">
        <v>1</v>
      </c>
      <c r="K16" s="151">
        <f t="shared" si="5"/>
        <v>2.927400468384075E-05</v>
      </c>
      <c r="L16" s="164">
        <v>1</v>
      </c>
      <c r="M16" s="151">
        <f t="shared" si="6"/>
        <v>4.01429087551684E-05</v>
      </c>
      <c r="N16" s="172" t="s">
        <v>1980</v>
      </c>
      <c r="O16" s="173" t="s">
        <v>1980</v>
      </c>
      <c r="P16" s="164">
        <v>2</v>
      </c>
      <c r="Q16" s="151">
        <f t="shared" si="8"/>
        <v>4.811277634775915E-05</v>
      </c>
      <c r="R16" s="172" t="s">
        <v>1980</v>
      </c>
      <c r="S16" s="173" t="s">
        <v>1980</v>
      </c>
      <c r="T16" s="164">
        <v>1</v>
      </c>
      <c r="U16" s="151">
        <f t="shared" si="10"/>
        <v>3.965107057890563E-05</v>
      </c>
      <c r="V16" s="172" t="s">
        <v>1980</v>
      </c>
      <c r="W16" s="173" t="s">
        <v>1980</v>
      </c>
      <c r="X16" s="164">
        <v>4</v>
      </c>
      <c r="Y16" s="151">
        <f t="shared" si="11"/>
        <v>0.00011004429282786321</v>
      </c>
      <c r="Z16" s="164">
        <v>4</v>
      </c>
      <c r="AA16" s="151">
        <f t="shared" si="12"/>
        <v>0.00010934638200158552</v>
      </c>
      <c r="AB16" s="172" t="s">
        <v>1980</v>
      </c>
      <c r="AC16" s="173" t="s">
        <v>1980</v>
      </c>
    </row>
    <row r="17" spans="1:29" ht="36.75" customHeight="1" thickBot="1">
      <c r="A17" s="168" t="s">
        <v>1646</v>
      </c>
      <c r="B17" s="164">
        <v>64</v>
      </c>
      <c r="C17" s="151">
        <f t="shared" si="13"/>
        <v>0.003768030615248749</v>
      </c>
      <c r="D17" s="164">
        <v>24</v>
      </c>
      <c r="E17" s="151">
        <f t="shared" si="3"/>
        <v>0.000947193937958797</v>
      </c>
      <c r="F17" s="164">
        <v>996</v>
      </c>
      <c r="G17" s="151">
        <f t="shared" si="3"/>
        <v>0.04603651490640166</v>
      </c>
      <c r="H17" s="164">
        <v>273</v>
      </c>
      <c r="I17" s="151">
        <f t="shared" si="4"/>
        <v>0.013099808061420345</v>
      </c>
      <c r="J17" s="164">
        <v>9910</v>
      </c>
      <c r="K17" s="151">
        <f t="shared" si="5"/>
        <v>0.29010538641686184</v>
      </c>
      <c r="L17" s="164">
        <v>3879</v>
      </c>
      <c r="M17" s="151">
        <f t="shared" si="6"/>
        <v>0.15571434306129822</v>
      </c>
      <c r="N17" s="164">
        <v>2428</v>
      </c>
      <c r="O17" s="151">
        <f>N17/N$8</f>
        <v>0.06956023492336341</v>
      </c>
      <c r="P17" s="164">
        <v>4129</v>
      </c>
      <c r="Q17" s="151">
        <f t="shared" si="8"/>
        <v>0.09932882676994877</v>
      </c>
      <c r="R17" s="172" t="s">
        <v>1980</v>
      </c>
      <c r="S17" s="173" t="s">
        <v>1980</v>
      </c>
      <c r="T17" s="172" t="s">
        <v>1980</v>
      </c>
      <c r="U17" s="173" t="s">
        <v>1980</v>
      </c>
      <c r="V17" s="172" t="s">
        <v>1980</v>
      </c>
      <c r="W17" s="173" t="s">
        <v>1980</v>
      </c>
      <c r="X17" s="172">
        <v>182</v>
      </c>
      <c r="Y17" s="151">
        <f t="shared" si="11"/>
        <v>0.005007015323667777</v>
      </c>
      <c r="Z17" s="172">
        <v>82</v>
      </c>
      <c r="AA17" s="151">
        <f t="shared" si="12"/>
        <v>0.002241600831032503</v>
      </c>
      <c r="AB17" s="443">
        <v>290</v>
      </c>
      <c r="AC17" s="151">
        <f t="shared" si="12"/>
        <v>0.006791887207831748</v>
      </c>
    </row>
    <row r="18" spans="1:29" ht="24.75" customHeight="1" thickBot="1">
      <c r="A18" s="168" t="s">
        <v>1647</v>
      </c>
      <c r="B18" s="172" t="s">
        <v>1980</v>
      </c>
      <c r="C18" s="173" t="s">
        <v>1980</v>
      </c>
      <c r="D18" s="174">
        <v>13</v>
      </c>
      <c r="E18" s="151">
        <f t="shared" si="3"/>
        <v>0.0005130633830610151</v>
      </c>
      <c r="F18" s="174">
        <v>11</v>
      </c>
      <c r="G18" s="151">
        <f t="shared" si="3"/>
        <v>0.0005084354055927895</v>
      </c>
      <c r="H18" s="174">
        <v>11</v>
      </c>
      <c r="I18" s="151">
        <f t="shared" si="4"/>
        <v>0.000527831094049904</v>
      </c>
      <c r="J18" s="174">
        <v>12</v>
      </c>
      <c r="K18" s="151">
        <f t="shared" si="5"/>
        <v>0.000351288056206089</v>
      </c>
      <c r="L18" s="174">
        <v>64</v>
      </c>
      <c r="M18" s="151">
        <f t="shared" si="6"/>
        <v>0.0025691461603307778</v>
      </c>
      <c r="N18" s="174">
        <v>10</v>
      </c>
      <c r="O18" s="151">
        <f>N18/N$8</f>
        <v>0.00028649190660363845</v>
      </c>
      <c r="P18" s="164">
        <v>10</v>
      </c>
      <c r="Q18" s="151">
        <f t="shared" si="8"/>
        <v>0.00024056388173879573</v>
      </c>
      <c r="R18" s="172" t="s">
        <v>1980</v>
      </c>
      <c r="S18" s="173" t="s">
        <v>1980</v>
      </c>
      <c r="T18" s="172" t="s">
        <v>1980</v>
      </c>
      <c r="U18" s="173" t="s">
        <v>1980</v>
      </c>
      <c r="V18" s="443">
        <v>263</v>
      </c>
      <c r="W18" s="151">
        <f>V18/V$8</f>
        <v>0.008979480350985012</v>
      </c>
      <c r="X18" s="443">
        <v>328</v>
      </c>
      <c r="Y18" s="151">
        <f t="shared" si="11"/>
        <v>0.009023632011884783</v>
      </c>
      <c r="Z18" s="443">
        <v>392</v>
      </c>
      <c r="AA18" s="151">
        <f t="shared" si="12"/>
        <v>0.010715945436155382</v>
      </c>
      <c r="AB18" s="515">
        <v>533</v>
      </c>
      <c r="AC18" s="151">
        <f t="shared" si="12"/>
        <v>0.01248302028198042</v>
      </c>
    </row>
    <row r="19" spans="1:29" ht="21.75" thickBot="1">
      <c r="A19" s="168" t="s">
        <v>1638</v>
      </c>
      <c r="B19" s="172" t="s">
        <v>1980</v>
      </c>
      <c r="C19" s="173" t="s">
        <v>1980</v>
      </c>
      <c r="D19" s="172" t="s">
        <v>1980</v>
      </c>
      <c r="E19" s="173" t="s">
        <v>1980</v>
      </c>
      <c r="F19" s="174">
        <v>354</v>
      </c>
      <c r="G19" s="151">
        <f t="shared" si="3"/>
        <v>0.016362375779986133</v>
      </c>
      <c r="H19" s="174">
        <v>105</v>
      </c>
      <c r="I19" s="151">
        <f t="shared" si="4"/>
        <v>0.005038387715930902</v>
      </c>
      <c r="J19" s="174">
        <v>353</v>
      </c>
      <c r="K19" s="151">
        <f t="shared" si="5"/>
        <v>0.010333723653395785</v>
      </c>
      <c r="L19" s="174">
        <v>15</v>
      </c>
      <c r="M19" s="151">
        <f t="shared" si="6"/>
        <v>0.000602143631327526</v>
      </c>
      <c r="N19" s="174">
        <v>125</v>
      </c>
      <c r="O19" s="151">
        <f>N19/N$8</f>
        <v>0.0035811488325454806</v>
      </c>
      <c r="P19" s="164">
        <v>13</v>
      </c>
      <c r="Q19" s="151">
        <f t="shared" si="8"/>
        <v>0.00031273304626043444</v>
      </c>
      <c r="R19" s="164">
        <v>24</v>
      </c>
      <c r="S19" s="151">
        <f>R19/R$8</f>
        <v>0.0007733702832468663</v>
      </c>
      <c r="T19" s="170">
        <v>87</v>
      </c>
      <c r="U19" s="151">
        <f>T19/T$8</f>
        <v>0.0034496431403647897</v>
      </c>
      <c r="V19" s="443">
        <v>89</v>
      </c>
      <c r="W19" s="151">
        <f>V19/V$8</f>
        <v>0.003038683464782</v>
      </c>
      <c r="X19" s="443">
        <v>263</v>
      </c>
      <c r="Y19" s="151">
        <f t="shared" si="11"/>
        <v>0.007235412253432006</v>
      </c>
      <c r="Z19" s="443">
        <v>529</v>
      </c>
      <c r="AA19" s="151">
        <f t="shared" si="12"/>
        <v>0.014461059019709685</v>
      </c>
      <c r="AB19" s="443">
        <v>90</v>
      </c>
      <c r="AC19" s="151">
        <f t="shared" si="12"/>
        <v>0.002107827064499508</v>
      </c>
    </row>
    <row r="20" spans="1:29" ht="21.75" thickBot="1">
      <c r="A20" s="168" t="s">
        <v>1639</v>
      </c>
      <c r="B20" s="172" t="s">
        <v>1980</v>
      </c>
      <c r="C20" s="173" t="s">
        <v>1980</v>
      </c>
      <c r="D20" s="172" t="s">
        <v>1980</v>
      </c>
      <c r="E20" s="173" t="s">
        <v>1980</v>
      </c>
      <c r="F20" s="172" t="s">
        <v>1980</v>
      </c>
      <c r="G20" s="173" t="s">
        <v>1980</v>
      </c>
      <c r="H20" s="172" t="s">
        <v>1980</v>
      </c>
      <c r="I20" s="173" t="s">
        <v>1980</v>
      </c>
      <c r="J20" s="172" t="s">
        <v>1980</v>
      </c>
      <c r="K20" s="173" t="s">
        <v>1980</v>
      </c>
      <c r="L20" s="172" t="s">
        <v>1980</v>
      </c>
      <c r="M20" s="173" t="s">
        <v>1980</v>
      </c>
      <c r="N20" s="172" t="s">
        <v>1980</v>
      </c>
      <c r="O20" s="173" t="s">
        <v>1980</v>
      </c>
      <c r="P20" s="172" t="s">
        <v>1980</v>
      </c>
      <c r="Q20" s="173" t="s">
        <v>1980</v>
      </c>
      <c r="R20" s="172" t="s">
        <v>1980</v>
      </c>
      <c r="S20" s="173" t="s">
        <v>1980</v>
      </c>
      <c r="T20" s="170">
        <v>25</v>
      </c>
      <c r="U20" s="151">
        <f>T20/T$8</f>
        <v>0.0009912767644726407</v>
      </c>
      <c r="V20" s="443">
        <v>3</v>
      </c>
      <c r="W20" s="151">
        <f>V20/V$8</f>
        <v>0.00010242753252074157</v>
      </c>
      <c r="X20" s="443">
        <v>130</v>
      </c>
      <c r="Y20" s="151">
        <f t="shared" si="11"/>
        <v>0.0035764395169055547</v>
      </c>
      <c r="Z20" s="443">
        <v>167</v>
      </c>
      <c r="AA20" s="151">
        <f t="shared" si="12"/>
        <v>0.004565211448566196</v>
      </c>
      <c r="AB20" s="443">
        <v>234</v>
      </c>
      <c r="AC20" s="151">
        <f t="shared" si="12"/>
        <v>0.0054803503676987214</v>
      </c>
    </row>
    <row r="21" spans="1:29" ht="25.5" customHeight="1" thickBot="1">
      <c r="A21" s="516" t="s">
        <v>927</v>
      </c>
      <c r="B21" s="164">
        <v>124299</v>
      </c>
      <c r="C21" s="151">
        <f aca="true" t="shared" si="14" ref="C21:E23">B21/B$4</f>
        <v>0.28687783014295537</v>
      </c>
      <c r="D21" s="164">
        <f>217457+1747</f>
        <v>219204</v>
      </c>
      <c r="E21" s="151">
        <f t="shared" si="14"/>
        <v>0.3603100714032112</v>
      </c>
      <c r="F21" s="164">
        <v>172908</v>
      </c>
      <c r="G21" s="151">
        <f>F21/F$4</f>
        <v>0.36514456225859654</v>
      </c>
      <c r="H21" s="164">
        <v>188009</v>
      </c>
      <c r="I21" s="151">
        <f>H21/H$4</f>
        <v>0.3299850811759544</v>
      </c>
      <c r="J21" s="164">
        <v>163192</v>
      </c>
      <c r="K21" s="151">
        <f>J21/J$4</f>
        <v>0.2476647499024924</v>
      </c>
      <c r="L21" s="164">
        <v>210472</v>
      </c>
      <c r="M21" s="151">
        <f>L21/L$4</f>
        <v>0.32921228805605957</v>
      </c>
      <c r="N21" s="164">
        <v>282226</v>
      </c>
      <c r="O21" s="151">
        <f>N21/N$4</f>
        <v>0.2717516060946864</v>
      </c>
      <c r="P21" s="164">
        <v>293080</v>
      </c>
      <c r="Q21" s="151">
        <f>P21/P$4</f>
        <v>0.244759157590223</v>
      </c>
      <c r="R21" s="164">
        <v>434572</v>
      </c>
      <c r="S21" s="151">
        <f>R21/R$4</f>
        <v>0.2555811257703656</v>
      </c>
      <c r="T21" s="164">
        <v>239387</v>
      </c>
      <c r="U21" s="151">
        <f>T21/T$4</f>
        <v>0.18693886985646158</v>
      </c>
      <c r="V21" s="164">
        <v>226076</v>
      </c>
      <c r="W21" s="151">
        <f>V21/V$4</f>
        <v>0.17748475596591867</v>
      </c>
      <c r="X21" s="164">
        <v>257118</v>
      </c>
      <c r="Y21" s="151">
        <f>X21/X$4</f>
        <v>0.17878198954918245</v>
      </c>
      <c r="Z21" s="164">
        <v>275519</v>
      </c>
      <c r="AA21" s="151">
        <f>Z21/Z$4</f>
        <v>0.16268408457099534</v>
      </c>
      <c r="AB21" s="164">
        <v>338735</v>
      </c>
      <c r="AC21" s="151">
        <f>AB21/AB$4</f>
        <v>0.1613864556106848</v>
      </c>
    </row>
    <row r="22" spans="1:29" ht="45" customHeight="1" thickBot="1">
      <c r="A22" s="167" t="s">
        <v>1981</v>
      </c>
      <c r="B22" s="164">
        <v>149344</v>
      </c>
      <c r="C22" s="151">
        <f t="shared" si="14"/>
        <v>0.3446808314215684</v>
      </c>
      <c r="D22" s="164">
        <f>164020+35908</f>
        <v>199928</v>
      </c>
      <c r="E22" s="151">
        <f t="shared" si="14"/>
        <v>0.3286257183057846</v>
      </c>
      <c r="F22" s="164">
        <v>136359</v>
      </c>
      <c r="G22" s="151">
        <f>F22/F$4</f>
        <v>0.2879609235259211</v>
      </c>
      <c r="H22" s="164">
        <v>170882</v>
      </c>
      <c r="I22" s="151">
        <f>H22/H$4</f>
        <v>0.2999245283018868</v>
      </c>
      <c r="J22" s="164">
        <v>192944</v>
      </c>
      <c r="K22" s="151">
        <f>J22/J$4</f>
        <v>0.29281721840032904</v>
      </c>
      <c r="L22" s="164">
        <v>96322</v>
      </c>
      <c r="M22" s="151">
        <f>L22/L$4</f>
        <v>0.15066320465494587</v>
      </c>
      <c r="N22" s="164">
        <v>331855</v>
      </c>
      <c r="O22" s="151">
        <f>N22/N$4</f>
        <v>0.3195387003343142</v>
      </c>
      <c r="P22" s="164">
        <v>245557</v>
      </c>
      <c r="Q22" s="151">
        <f>P22/P$4</f>
        <v>0.20507139504702604</v>
      </c>
      <c r="R22" s="164">
        <v>346057</v>
      </c>
      <c r="S22" s="151">
        <f>R22/R$4</f>
        <v>0.20352355338290412</v>
      </c>
      <c r="T22" s="164">
        <v>296535</v>
      </c>
      <c r="U22" s="151">
        <f>T22/T$4</f>
        <v>0.23156611584123546</v>
      </c>
      <c r="V22" s="164">
        <v>352585</v>
      </c>
      <c r="W22" s="151">
        <f>V22/V$4</f>
        <v>0.2768027684594713</v>
      </c>
      <c r="X22" s="164">
        <v>304283</v>
      </c>
      <c r="Y22" s="151">
        <f>X22/X$4</f>
        <v>0.21157725295776214</v>
      </c>
      <c r="Z22" s="164">
        <v>222052</v>
      </c>
      <c r="AA22" s="151">
        <f>Z22/Z$4</f>
        <v>0.13111373933252754</v>
      </c>
      <c r="AB22" s="164">
        <v>273661</v>
      </c>
      <c r="AC22" s="151">
        <f>AB22/AB$4</f>
        <v>0.13038268507498668</v>
      </c>
    </row>
    <row r="23" spans="1:29" ht="12.75" customHeight="1" thickBot="1">
      <c r="A23" s="166" t="s">
        <v>929</v>
      </c>
      <c r="B23" s="164">
        <v>1293</v>
      </c>
      <c r="C23" s="151">
        <f t="shared" si="14"/>
        <v>0.002984199666729751</v>
      </c>
      <c r="D23" s="164">
        <v>2305</v>
      </c>
      <c r="E23" s="151">
        <f t="shared" si="14"/>
        <v>0.003788775362604705</v>
      </c>
      <c r="F23" s="164">
        <v>1247</v>
      </c>
      <c r="G23" s="151">
        <f>F23/F$4</f>
        <v>0.0026333961941406407</v>
      </c>
      <c r="H23" s="164">
        <v>1503</v>
      </c>
      <c r="I23" s="151">
        <f>H23/H$4</f>
        <v>0.002637999122422115</v>
      </c>
      <c r="J23" s="164">
        <v>702</v>
      </c>
      <c r="K23" s="151">
        <f>J23/J$4</f>
        <v>0.0010653748617061479</v>
      </c>
      <c r="L23" s="173" t="s">
        <v>1447</v>
      </c>
      <c r="M23" s="151" t="s">
        <v>1980</v>
      </c>
      <c r="N23" s="164">
        <v>16079</v>
      </c>
      <c r="O23" s="151">
        <f>N23/N$4</f>
        <v>0.0154822520759833</v>
      </c>
      <c r="P23" s="164">
        <v>11185</v>
      </c>
      <c r="Q23" s="151">
        <f>P23/P$4</f>
        <v>0.009340900701674097</v>
      </c>
      <c r="R23" s="164">
        <v>4936</v>
      </c>
      <c r="S23" s="151">
        <f>R23/R$4</f>
        <v>0.002902967602152289</v>
      </c>
      <c r="T23" s="164">
        <v>23800</v>
      </c>
      <c r="U23" s="151">
        <f>T23/T$4</f>
        <v>0.018585575250885743</v>
      </c>
      <c r="V23" s="164">
        <v>13589</v>
      </c>
      <c r="W23" s="151">
        <f>V23/V$4</f>
        <v>0.010668272389908124</v>
      </c>
      <c r="X23" s="164">
        <v>1351</v>
      </c>
      <c r="Y23" s="151">
        <f>X23/X$4</f>
        <v>0.0009393915162724722</v>
      </c>
      <c r="Z23" s="164">
        <v>10022</v>
      </c>
      <c r="AA23" s="151">
        <f>Z23/Z$4</f>
        <v>0.0059176314358375115</v>
      </c>
      <c r="AB23" s="164">
        <v>2160</v>
      </c>
      <c r="AC23" s="151">
        <f>AB23/AB$4</f>
        <v>0.0010291075445970424</v>
      </c>
    </row>
    <row r="25" ht="12.75">
      <c r="A25" s="158" t="s">
        <v>1230</v>
      </c>
    </row>
    <row r="26" ht="12.75">
      <c r="A26" s="159" t="s">
        <v>1982</v>
      </c>
    </row>
    <row r="27" ht="12.75">
      <c r="A27" s="159" t="s">
        <v>2665</v>
      </c>
    </row>
  </sheetData>
  <sheetProtection/>
  <mergeCells count="15">
    <mergeCell ref="V2:W2"/>
    <mergeCell ref="X2:Y2"/>
    <mergeCell ref="Z2:AA2"/>
    <mergeCell ref="P2:Q2"/>
    <mergeCell ref="R2:S2"/>
    <mergeCell ref="T2:U2"/>
    <mergeCell ref="A2:A3"/>
    <mergeCell ref="B2:C2"/>
    <mergeCell ref="D2:E2"/>
    <mergeCell ref="F2:G2"/>
    <mergeCell ref="AB2:AC2"/>
    <mergeCell ref="H2:I2"/>
    <mergeCell ref="J2:K2"/>
    <mergeCell ref="L2:M2"/>
    <mergeCell ref="N2:O2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045"/>
  <sheetViews>
    <sheetView showZero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13" sqref="D13"/>
    </sheetView>
  </sheetViews>
  <sheetFormatPr defaultColWidth="18.421875" defaultRowHeight="39.75" customHeight="1"/>
  <cols>
    <col min="1" max="1" width="18.7109375" style="377" customWidth="1"/>
    <col min="2" max="2" width="3.00390625" style="378" bestFit="1" customWidth="1"/>
    <col min="3" max="3" width="5.140625" style="378" customWidth="1"/>
    <col min="4" max="4" width="8.7109375" style="388" customWidth="1"/>
    <col min="5" max="5" width="11.7109375" style="380" customWidth="1"/>
    <col min="6" max="11" width="5.7109375" style="381" customWidth="1"/>
    <col min="12" max="13" width="7.7109375" style="381" customWidth="1"/>
    <col min="14" max="14" width="5.7109375" style="382" customWidth="1"/>
    <col min="15" max="15" width="5.7109375" style="383" customWidth="1"/>
    <col min="16" max="17" width="5.7109375" style="384" customWidth="1"/>
    <col min="18" max="18" width="5.7109375" style="383" customWidth="1"/>
    <col min="19" max="19" width="5.7109375" style="382" customWidth="1"/>
    <col min="20" max="20" width="5.7109375" style="385" customWidth="1"/>
    <col min="21" max="21" width="5.7109375" style="386" customWidth="1"/>
    <col min="22" max="16384" width="18.421875" style="381" customWidth="1"/>
  </cols>
  <sheetData>
    <row r="1" spans="1:21" ht="30" customHeight="1" thickBot="1">
      <c r="A1" s="140" t="s">
        <v>1269</v>
      </c>
      <c r="U1" s="122" t="s">
        <v>1270</v>
      </c>
    </row>
    <row r="2" spans="1:21" s="216" customFormat="1" ht="13.5" customHeight="1">
      <c r="A2" s="761" t="s">
        <v>2047</v>
      </c>
      <c r="B2" s="764" t="s">
        <v>2048</v>
      </c>
      <c r="C2" s="766" t="s">
        <v>2049</v>
      </c>
      <c r="D2" s="768" t="s">
        <v>2050</v>
      </c>
      <c r="E2" s="770" t="s">
        <v>2051</v>
      </c>
      <c r="F2" s="772" t="s">
        <v>2052</v>
      </c>
      <c r="G2" s="750"/>
      <c r="H2" s="750" t="s">
        <v>2053</v>
      </c>
      <c r="I2" s="750"/>
      <c r="J2" s="750"/>
      <c r="K2" s="750"/>
      <c r="L2" s="750" t="s">
        <v>2054</v>
      </c>
      <c r="M2" s="755"/>
      <c r="N2" s="757" t="s">
        <v>2055</v>
      </c>
      <c r="O2" s="758"/>
      <c r="P2" s="758"/>
      <c r="Q2" s="758"/>
      <c r="R2" s="758"/>
      <c r="S2" s="758"/>
      <c r="T2" s="758"/>
      <c r="U2" s="759"/>
    </row>
    <row r="3" spans="1:21" s="216" customFormat="1" ht="30" customHeight="1">
      <c r="A3" s="762"/>
      <c r="B3" s="765"/>
      <c r="C3" s="767"/>
      <c r="D3" s="769"/>
      <c r="E3" s="771"/>
      <c r="F3" s="760"/>
      <c r="G3" s="751"/>
      <c r="H3" s="751"/>
      <c r="I3" s="751"/>
      <c r="J3" s="751"/>
      <c r="K3" s="751"/>
      <c r="L3" s="751"/>
      <c r="M3" s="756"/>
      <c r="N3" s="760" t="s">
        <v>2056</v>
      </c>
      <c r="O3" s="751"/>
      <c r="P3" s="751" t="s">
        <v>2057</v>
      </c>
      <c r="Q3" s="751"/>
      <c r="R3" s="751" t="s">
        <v>2058</v>
      </c>
      <c r="S3" s="751"/>
      <c r="T3" s="751" t="s">
        <v>2059</v>
      </c>
      <c r="U3" s="756"/>
    </row>
    <row r="4" spans="1:21" s="216" customFormat="1" ht="11.25" customHeight="1">
      <c r="A4" s="762"/>
      <c r="B4" s="765"/>
      <c r="C4" s="767"/>
      <c r="D4" s="769"/>
      <c r="E4" s="771"/>
      <c r="F4" s="760"/>
      <c r="G4" s="751"/>
      <c r="H4" s="752" t="s">
        <v>2060</v>
      </c>
      <c r="I4" s="752"/>
      <c r="J4" s="753" t="s">
        <v>2061</v>
      </c>
      <c r="K4" s="754"/>
      <c r="L4" s="751"/>
      <c r="M4" s="756"/>
      <c r="N4" s="760"/>
      <c r="O4" s="751"/>
      <c r="P4" s="751"/>
      <c r="Q4" s="751"/>
      <c r="R4" s="751"/>
      <c r="S4" s="751"/>
      <c r="T4" s="751"/>
      <c r="U4" s="756"/>
    </row>
    <row r="5" spans="1:21" s="216" customFormat="1" ht="48.75" customHeight="1">
      <c r="A5" s="763"/>
      <c r="B5" s="765"/>
      <c r="C5" s="767"/>
      <c r="D5" s="769"/>
      <c r="E5" s="771"/>
      <c r="F5" s="218" t="s">
        <v>2672</v>
      </c>
      <c r="G5" s="219" t="s">
        <v>2062</v>
      </c>
      <c r="H5" s="219" t="s">
        <v>2672</v>
      </c>
      <c r="I5" s="219" t="s">
        <v>2062</v>
      </c>
      <c r="J5" s="219" t="s">
        <v>2672</v>
      </c>
      <c r="K5" s="220" t="s">
        <v>2062</v>
      </c>
      <c r="L5" s="219" t="s">
        <v>2672</v>
      </c>
      <c r="M5" s="221" t="s">
        <v>2062</v>
      </c>
      <c r="N5" s="222" t="s">
        <v>2672</v>
      </c>
      <c r="O5" s="219" t="s">
        <v>2062</v>
      </c>
      <c r="P5" s="223" t="s">
        <v>2672</v>
      </c>
      <c r="Q5" s="219" t="s">
        <v>2062</v>
      </c>
      <c r="R5" s="224" t="s">
        <v>2672</v>
      </c>
      <c r="S5" s="219" t="s">
        <v>2062</v>
      </c>
      <c r="T5" s="225" t="s">
        <v>2672</v>
      </c>
      <c r="U5" s="221" t="s">
        <v>2062</v>
      </c>
    </row>
    <row r="6" spans="1:21" s="234" customFormat="1" ht="12" customHeight="1" thickBot="1">
      <c r="A6" s="226">
        <v>1</v>
      </c>
      <c r="B6" s="227" t="s">
        <v>2063</v>
      </c>
      <c r="C6" s="228">
        <v>3</v>
      </c>
      <c r="D6" s="229">
        <v>4</v>
      </c>
      <c r="E6" s="230">
        <v>5</v>
      </c>
      <c r="F6" s="231">
        <v>6</v>
      </c>
      <c r="G6" s="232">
        <v>7</v>
      </c>
      <c r="H6" s="232">
        <v>8</v>
      </c>
      <c r="I6" s="232">
        <v>9</v>
      </c>
      <c r="J6" s="232">
        <v>10</v>
      </c>
      <c r="K6" s="232">
        <v>11</v>
      </c>
      <c r="L6" s="232">
        <v>12</v>
      </c>
      <c r="M6" s="233">
        <v>13</v>
      </c>
      <c r="N6" s="231">
        <v>14</v>
      </c>
      <c r="O6" s="232">
        <v>15</v>
      </c>
      <c r="P6" s="232">
        <v>16</v>
      </c>
      <c r="Q6" s="232">
        <v>17</v>
      </c>
      <c r="R6" s="232">
        <v>18</v>
      </c>
      <c r="S6" s="232">
        <v>19</v>
      </c>
      <c r="T6" s="232">
        <v>20</v>
      </c>
      <c r="U6" s="233">
        <v>21</v>
      </c>
    </row>
    <row r="7" spans="1:21" s="234" customFormat="1" ht="12" customHeight="1">
      <c r="A7" s="784" t="s">
        <v>2064</v>
      </c>
      <c r="B7" s="785"/>
      <c r="C7" s="477">
        <v>2014</v>
      </c>
      <c r="D7" s="495"/>
      <c r="E7" s="487"/>
      <c r="F7" s="478"/>
      <c r="G7" s="479"/>
      <c r="H7" s="479"/>
      <c r="I7" s="479"/>
      <c r="J7" s="479"/>
      <c r="K7" s="480"/>
      <c r="L7" s="481"/>
      <c r="M7" s="482"/>
      <c r="N7" s="483"/>
      <c r="O7" s="484"/>
      <c r="P7" s="485"/>
      <c r="Q7" s="485"/>
      <c r="R7" s="484"/>
      <c r="S7" s="484"/>
      <c r="T7" s="486"/>
      <c r="U7" s="487"/>
    </row>
    <row r="8" spans="1:21" s="234" customFormat="1" ht="12" customHeight="1">
      <c r="A8" s="786"/>
      <c r="B8" s="787"/>
      <c r="C8" s="488">
        <v>2013</v>
      </c>
      <c r="D8" s="535"/>
      <c r="E8" s="536"/>
      <c r="F8" s="489"/>
      <c r="G8" s="490"/>
      <c r="H8" s="490"/>
      <c r="I8" s="490"/>
      <c r="J8" s="490"/>
      <c r="K8" s="491"/>
      <c r="L8" s="537"/>
      <c r="M8" s="538"/>
      <c r="N8" s="539"/>
      <c r="O8" s="540"/>
      <c r="P8" s="541"/>
      <c r="Q8" s="541"/>
      <c r="R8" s="540"/>
      <c r="S8" s="540"/>
      <c r="T8" s="542"/>
      <c r="U8" s="536"/>
    </row>
    <row r="9" spans="1:21" s="234" customFormat="1" ht="12" customHeight="1">
      <c r="A9" s="786"/>
      <c r="B9" s="787"/>
      <c r="C9" s="488">
        <v>2012</v>
      </c>
      <c r="D9" s="258">
        <v>2565705</v>
      </c>
      <c r="E9" s="494">
        <v>4501834298</v>
      </c>
      <c r="F9" s="489">
        <v>3084</v>
      </c>
      <c r="G9" s="490">
        <v>2407</v>
      </c>
      <c r="H9" s="490">
        <v>111</v>
      </c>
      <c r="I9" s="490">
        <v>98</v>
      </c>
      <c r="J9" s="490">
        <v>64</v>
      </c>
      <c r="K9" s="491">
        <v>56</v>
      </c>
      <c r="L9" s="245">
        <v>220968</v>
      </c>
      <c r="M9" s="246">
        <v>170196</v>
      </c>
      <c r="N9" s="239">
        <f>F9*1000/D9</f>
        <v>1.2020088045975668</v>
      </c>
      <c r="O9" s="240">
        <f>G9*1000/D9</f>
        <v>0.938143707090254</v>
      </c>
      <c r="P9" s="241">
        <f>L9/D9</f>
        <v>0.08612369699556262</v>
      </c>
      <c r="Q9" s="241">
        <f>M9/D9</f>
        <v>0.06633498395177934</v>
      </c>
      <c r="R9" s="240">
        <f>F9*1000000/E9</f>
        <v>0.6850540903671439</v>
      </c>
      <c r="S9" s="240">
        <f>G9*1000000/E9</f>
        <v>0.5346709453676121</v>
      </c>
      <c r="T9" s="242">
        <f>L9*1000000/E9</f>
        <v>49.08399229579995</v>
      </c>
      <c r="U9" s="243">
        <f>M9*1000000/E9</f>
        <v>37.8059228158646</v>
      </c>
    </row>
    <row r="10" spans="1:21" s="234" customFormat="1" ht="12" customHeight="1">
      <c r="A10" s="786"/>
      <c r="B10" s="787"/>
      <c r="C10" s="488">
        <v>2011</v>
      </c>
      <c r="D10" s="258">
        <v>2586546</v>
      </c>
      <c r="E10" s="494">
        <v>4513006496</v>
      </c>
      <c r="F10" s="489">
        <v>2891</v>
      </c>
      <c r="G10" s="490">
        <v>2384</v>
      </c>
      <c r="H10" s="490">
        <v>116</v>
      </c>
      <c r="I10" s="490">
        <v>94</v>
      </c>
      <c r="J10" s="490">
        <v>82</v>
      </c>
      <c r="K10" s="491">
        <v>74</v>
      </c>
      <c r="L10" s="245">
        <v>206957</v>
      </c>
      <c r="M10" s="246">
        <v>167080</v>
      </c>
      <c r="N10" s="239">
        <f>F10*1000/D10</f>
        <v>1.1177067796203894</v>
      </c>
      <c r="O10" s="240">
        <f>G10*1000/D10</f>
        <v>0.9216924810152226</v>
      </c>
      <c r="P10" s="241">
        <f>L10/D10</f>
        <v>0.08001288204423969</v>
      </c>
      <c r="Q10" s="241">
        <f>M10/D10</f>
        <v>0.06459579686578162</v>
      </c>
      <c r="R10" s="240">
        <f>F10*1000000/E10</f>
        <v>0.6405929179500122</v>
      </c>
      <c r="S10" s="240">
        <f>G10*1000000/E10</f>
        <v>0.528250956898246</v>
      </c>
      <c r="T10" s="242">
        <f>L10*1000000/E10</f>
        <v>45.85789986862009</v>
      </c>
      <c r="U10" s="243">
        <f>M10*1000000/E10</f>
        <v>37.0218833383217</v>
      </c>
    </row>
    <row r="11" spans="1:21" s="234" customFormat="1" ht="12" customHeight="1">
      <c r="A11" s="786"/>
      <c r="B11" s="787"/>
      <c r="C11" s="488">
        <v>2010</v>
      </c>
      <c r="D11" s="244">
        <v>2556799</v>
      </c>
      <c r="E11" s="236">
        <v>4451873726</v>
      </c>
      <c r="F11" s="489">
        <v>3086</v>
      </c>
      <c r="G11" s="490">
        <v>2457</v>
      </c>
      <c r="H11" s="490">
        <v>109</v>
      </c>
      <c r="I11" s="490">
        <v>92</v>
      </c>
      <c r="J11" s="490">
        <v>66</v>
      </c>
      <c r="K11" s="491">
        <v>56</v>
      </c>
      <c r="L11" s="245">
        <v>252792</v>
      </c>
      <c r="M11" s="246">
        <v>194026</v>
      </c>
      <c r="N11" s="239">
        <f>F11*1000/D11</f>
        <v>1.2069779439056414</v>
      </c>
      <c r="O11" s="240">
        <f>G11*1000/D11</f>
        <v>0.9609672093895532</v>
      </c>
      <c r="P11" s="241">
        <f>L11/D11</f>
        <v>0.09887050174847534</v>
      </c>
      <c r="Q11" s="241">
        <f>M11/D11</f>
        <v>0.07588629376028386</v>
      </c>
      <c r="R11" s="240">
        <f>F11*1000000/E11</f>
        <v>0.6931912695494994</v>
      </c>
      <c r="S11" s="240">
        <f>G11*1000000/E11</f>
        <v>0.5519024463004277</v>
      </c>
      <c r="T11" s="242">
        <f>L11*1000000/E11</f>
        <v>56.78328172778906</v>
      </c>
      <c r="U11" s="243">
        <f>M11*1000000/E11</f>
        <v>43.58299716967309</v>
      </c>
    </row>
    <row r="12" spans="1:21" s="234" customFormat="1" ht="12" customHeight="1">
      <c r="A12" s="786"/>
      <c r="B12" s="787"/>
      <c r="C12" s="488">
        <v>2009</v>
      </c>
      <c r="D12" s="244">
        <v>2696109</v>
      </c>
      <c r="E12" s="236">
        <v>4766505786</v>
      </c>
      <c r="F12" s="492">
        <v>3125</v>
      </c>
      <c r="G12" s="492">
        <v>2605</v>
      </c>
      <c r="H12" s="492">
        <v>118</v>
      </c>
      <c r="I12" s="492">
        <v>88</v>
      </c>
      <c r="J12" s="492">
        <v>97</v>
      </c>
      <c r="K12" s="493">
        <v>86</v>
      </c>
      <c r="L12" s="245">
        <v>254964</v>
      </c>
      <c r="M12" s="246">
        <v>208371</v>
      </c>
      <c r="N12" s="239">
        <f>F12*1000/D12</f>
        <v>1.1590777672564425</v>
      </c>
      <c r="O12" s="240">
        <f>G12*1000/D12</f>
        <v>0.9662072267849705</v>
      </c>
      <c r="P12" s="241">
        <f>L12/D12</f>
        <v>0.09456739323224692</v>
      </c>
      <c r="Q12" s="241">
        <f>M12/D12</f>
        <v>0.0772858219011175</v>
      </c>
      <c r="R12" s="240">
        <f>F12*1000000/E12</f>
        <v>0.6556165334318131</v>
      </c>
      <c r="S12" s="240">
        <f>G12*1000000/E12</f>
        <v>0.5465219422687595</v>
      </c>
      <c r="T12" s="242">
        <f>L12*1000000/E12</f>
        <v>53.49075642557082</v>
      </c>
      <c r="U12" s="243">
        <f>M12*1000000/E12</f>
        <v>43.71567126007051</v>
      </c>
    </row>
    <row r="13" spans="1:21" s="247" customFormat="1" ht="13.5" customHeight="1">
      <c r="A13" s="786"/>
      <c r="B13" s="787"/>
      <c r="C13" s="235">
        <v>2008</v>
      </c>
      <c r="D13" s="244">
        <v>2827007</v>
      </c>
      <c r="E13" s="236">
        <v>5123250214</v>
      </c>
      <c r="F13" s="237">
        <v>3843</v>
      </c>
      <c r="G13" s="237">
        <v>3234</v>
      </c>
      <c r="H13" s="237">
        <v>180</v>
      </c>
      <c r="I13" s="237">
        <v>151</v>
      </c>
      <c r="J13" s="237">
        <v>103</v>
      </c>
      <c r="K13" s="238">
        <v>89</v>
      </c>
      <c r="L13" s="245">
        <v>298290</v>
      </c>
      <c r="M13" s="246">
        <v>243762</v>
      </c>
      <c r="N13" s="239">
        <f aca="true" t="shared" si="0" ref="N13:N21">F13*1000/D13</f>
        <v>1.3593882151689047</v>
      </c>
      <c r="O13" s="240">
        <f aca="true" t="shared" si="1" ref="O13:O21">G13*1000/D13</f>
        <v>1.1439660389945974</v>
      </c>
      <c r="P13" s="241">
        <f aca="true" t="shared" si="2" ref="P13:P21">L13/D13</f>
        <v>0.10551441860596737</v>
      </c>
      <c r="Q13" s="241">
        <f aca="true" t="shared" si="3" ref="Q13:Q21">M13/D13</f>
        <v>0.08622617489097126</v>
      </c>
      <c r="R13" s="240">
        <f aca="true" t="shared" si="4" ref="R13:R21">F13*1000000/E13</f>
        <v>0.7501097622556991</v>
      </c>
      <c r="S13" s="240">
        <f aca="true" t="shared" si="5" ref="S13:S21">G13*1000000/E13</f>
        <v>0.631239909220643</v>
      </c>
      <c r="T13" s="242">
        <f aca="true" t="shared" si="6" ref="T13:T21">L13*1000000/E13</f>
        <v>58.222805356037604</v>
      </c>
      <c r="U13" s="243">
        <f aca="true" t="shared" si="7" ref="U13:U21">M13*1000000/E13</f>
        <v>47.579561766061346</v>
      </c>
    </row>
    <row r="14" spans="1:21" s="247" customFormat="1" ht="13.5" customHeight="1">
      <c r="A14" s="786"/>
      <c r="B14" s="787"/>
      <c r="C14" s="235">
        <v>2007</v>
      </c>
      <c r="D14" s="244">
        <v>2522140</v>
      </c>
      <c r="E14" s="236">
        <v>4558053731</v>
      </c>
      <c r="F14" s="237">
        <v>3811</v>
      </c>
      <c r="G14" s="237">
        <v>3337</v>
      </c>
      <c r="H14" s="237">
        <v>179</v>
      </c>
      <c r="I14" s="237">
        <v>149</v>
      </c>
      <c r="J14" s="237">
        <v>76</v>
      </c>
      <c r="K14" s="238">
        <v>66</v>
      </c>
      <c r="L14" s="245">
        <v>238869</v>
      </c>
      <c r="M14" s="246">
        <v>208996</v>
      </c>
      <c r="N14" s="239">
        <f t="shared" si="0"/>
        <v>1.5110184208648212</v>
      </c>
      <c r="O14" s="240">
        <f t="shared" si="1"/>
        <v>1.3230827789099733</v>
      </c>
      <c r="P14" s="241">
        <f t="shared" si="2"/>
        <v>0.09470885835044843</v>
      </c>
      <c r="Q14" s="241">
        <f t="shared" si="3"/>
        <v>0.08286455153163583</v>
      </c>
      <c r="R14" s="240">
        <f t="shared" si="4"/>
        <v>0.8361024737555908</v>
      </c>
      <c r="S14" s="240">
        <f t="shared" si="5"/>
        <v>0.7321107202630297</v>
      </c>
      <c r="T14" s="242">
        <f t="shared" si="6"/>
        <v>52.405920179355604</v>
      </c>
      <c r="U14" s="243">
        <f t="shared" si="7"/>
        <v>45.8520263985892</v>
      </c>
    </row>
    <row r="15" spans="1:21" s="247" customFormat="1" ht="13.5" customHeight="1">
      <c r="A15" s="786"/>
      <c r="B15" s="787"/>
      <c r="C15" s="235">
        <v>2006</v>
      </c>
      <c r="D15" s="244">
        <v>2357694</v>
      </c>
      <c r="E15" s="236">
        <v>4272491771.003212</v>
      </c>
      <c r="F15" s="237">
        <v>4096</v>
      </c>
      <c r="G15" s="237">
        <v>3523</v>
      </c>
      <c r="H15" s="237">
        <v>169</v>
      </c>
      <c r="I15" s="237">
        <v>128</v>
      </c>
      <c r="J15" s="237">
        <v>81</v>
      </c>
      <c r="K15" s="238">
        <v>73</v>
      </c>
      <c r="L15" s="245">
        <v>261326</v>
      </c>
      <c r="M15" s="246">
        <v>218045</v>
      </c>
      <c r="N15" s="239">
        <f t="shared" si="0"/>
        <v>1.7372907595302869</v>
      </c>
      <c r="O15" s="240">
        <f t="shared" si="1"/>
        <v>1.4942566762268557</v>
      </c>
      <c r="P15" s="241">
        <f t="shared" si="2"/>
        <v>0.1108396594299345</v>
      </c>
      <c r="Q15" s="241">
        <f t="shared" si="3"/>
        <v>0.0924823153471146</v>
      </c>
      <c r="R15" s="240">
        <f t="shared" si="4"/>
        <v>0.9586911384590519</v>
      </c>
      <c r="S15" s="240">
        <f t="shared" si="5"/>
        <v>0.8245773634744238</v>
      </c>
      <c r="T15" s="242">
        <f t="shared" si="6"/>
        <v>61.16477550023198</v>
      </c>
      <c r="U15" s="243">
        <f t="shared" si="7"/>
        <v>51.03462140754491</v>
      </c>
    </row>
    <row r="16" spans="1:21" s="247" customFormat="1" ht="13.5" customHeight="1">
      <c r="A16" s="786"/>
      <c r="B16" s="787"/>
      <c r="C16" s="248">
        <v>2005</v>
      </c>
      <c r="D16" s="249">
        <v>2239189</v>
      </c>
      <c r="E16" s="250">
        <v>4110600103</v>
      </c>
      <c r="F16" s="249">
        <v>4311</v>
      </c>
      <c r="G16" s="251">
        <v>3638</v>
      </c>
      <c r="H16" s="251">
        <v>130</v>
      </c>
      <c r="I16" s="251">
        <v>108</v>
      </c>
      <c r="J16" s="251">
        <v>83</v>
      </c>
      <c r="K16" s="251">
        <v>76</v>
      </c>
      <c r="L16" s="251">
        <v>268286</v>
      </c>
      <c r="M16" s="250">
        <v>218743</v>
      </c>
      <c r="N16" s="239">
        <f t="shared" si="0"/>
        <v>1.9252506152897322</v>
      </c>
      <c r="O16" s="240">
        <f t="shared" si="1"/>
        <v>1.6246953696181965</v>
      </c>
      <c r="P16" s="241">
        <f t="shared" si="2"/>
        <v>0.11981391477003504</v>
      </c>
      <c r="Q16" s="241">
        <f t="shared" si="3"/>
        <v>0.09768849346794754</v>
      </c>
      <c r="R16" s="240">
        <f t="shared" si="4"/>
        <v>1.0487519807275205</v>
      </c>
      <c r="S16" s="240">
        <f t="shared" si="5"/>
        <v>0.8850289273687589</v>
      </c>
      <c r="T16" s="242">
        <f t="shared" si="6"/>
        <v>65.26686938099364</v>
      </c>
      <c r="U16" s="243">
        <f t="shared" si="7"/>
        <v>53.2143712642728</v>
      </c>
    </row>
    <row r="17" spans="1:21" s="247" customFormat="1" ht="13.5" customHeight="1">
      <c r="A17" s="786"/>
      <c r="B17" s="787"/>
      <c r="C17" s="252">
        <v>2004</v>
      </c>
      <c r="D17" s="249">
        <v>2179180</v>
      </c>
      <c r="E17" s="250">
        <v>4004167935</v>
      </c>
      <c r="F17" s="249">
        <v>4405</v>
      </c>
      <c r="G17" s="251">
        <v>3844</v>
      </c>
      <c r="H17" s="251">
        <v>130</v>
      </c>
      <c r="I17" s="251">
        <v>110</v>
      </c>
      <c r="J17" s="251">
        <v>85</v>
      </c>
      <c r="K17" s="251">
        <v>78</v>
      </c>
      <c r="L17" s="251">
        <v>260858</v>
      </c>
      <c r="M17" s="250">
        <v>222338</v>
      </c>
      <c r="N17" s="239">
        <f t="shared" si="0"/>
        <v>2.021402545911765</v>
      </c>
      <c r="O17" s="240">
        <f t="shared" si="1"/>
        <v>1.7639662625391201</v>
      </c>
      <c r="P17" s="241">
        <f t="shared" si="2"/>
        <v>0.11970465955084023</v>
      </c>
      <c r="Q17" s="241">
        <f t="shared" si="3"/>
        <v>0.1020282858689966</v>
      </c>
      <c r="R17" s="240">
        <f t="shared" si="4"/>
        <v>1.1001037098110622</v>
      </c>
      <c r="S17" s="240">
        <f t="shared" si="5"/>
        <v>0.9599996959168497</v>
      </c>
      <c r="T17" s="242">
        <f t="shared" si="6"/>
        <v>65.1466182823823</v>
      </c>
      <c r="U17" s="243">
        <f t="shared" si="7"/>
        <v>55.52664214119681</v>
      </c>
    </row>
    <row r="18" spans="1:21" s="247" customFormat="1" ht="13.5" customHeight="1">
      <c r="A18" s="786"/>
      <c r="B18" s="787"/>
      <c r="C18" s="252">
        <v>2003</v>
      </c>
      <c r="D18" s="249">
        <v>2187608.0000008</v>
      </c>
      <c r="E18" s="250">
        <v>3990974688.000001</v>
      </c>
      <c r="F18" s="253">
        <v>4876</v>
      </c>
      <c r="G18" s="251">
        <v>4214</v>
      </c>
      <c r="H18" s="251">
        <v>114</v>
      </c>
      <c r="I18" s="251">
        <v>93</v>
      </c>
      <c r="J18" s="251">
        <v>103</v>
      </c>
      <c r="K18" s="251">
        <v>92</v>
      </c>
      <c r="L18" s="251">
        <v>269335</v>
      </c>
      <c r="M18" s="250">
        <v>227894</v>
      </c>
      <c r="N18" s="239">
        <f t="shared" si="0"/>
        <v>2.228918526535932</v>
      </c>
      <c r="O18" s="240">
        <f t="shared" si="1"/>
        <v>1.9263048955747368</v>
      </c>
      <c r="P18" s="241">
        <f t="shared" si="2"/>
        <v>0.12311849289264873</v>
      </c>
      <c r="Q18" s="241">
        <f t="shared" si="3"/>
        <v>0.10417497101853561</v>
      </c>
      <c r="R18" s="240">
        <f t="shared" si="4"/>
        <v>1.2217566838148783</v>
      </c>
      <c r="S18" s="240">
        <f t="shared" si="5"/>
        <v>1.055882417062325</v>
      </c>
      <c r="T18" s="242">
        <f t="shared" si="6"/>
        <v>67.48602059788357</v>
      </c>
      <c r="U18" s="243">
        <f t="shared" si="7"/>
        <v>57.10234161224526</v>
      </c>
    </row>
    <row r="19" spans="1:21" s="247" customFormat="1" ht="13.5" customHeight="1">
      <c r="A19" s="786"/>
      <c r="B19" s="787"/>
      <c r="C19" s="254">
        <v>2002</v>
      </c>
      <c r="D19" s="253">
        <v>1927690</v>
      </c>
      <c r="E19" s="255">
        <v>3302185462</v>
      </c>
      <c r="F19" s="249">
        <v>5436</v>
      </c>
      <c r="G19" s="251">
        <v>4682</v>
      </c>
      <c r="H19" s="251">
        <v>115</v>
      </c>
      <c r="I19" s="251">
        <v>96</v>
      </c>
      <c r="J19" s="251">
        <v>152</v>
      </c>
      <c r="K19" s="251">
        <v>140</v>
      </c>
      <c r="L19" s="251">
        <v>293250</v>
      </c>
      <c r="M19" s="250">
        <v>247919</v>
      </c>
      <c r="N19" s="239">
        <f t="shared" si="0"/>
        <v>2.819955490768744</v>
      </c>
      <c r="O19" s="240">
        <f t="shared" si="1"/>
        <v>2.428813761548797</v>
      </c>
      <c r="P19" s="241">
        <f t="shared" si="2"/>
        <v>0.15212508235245292</v>
      </c>
      <c r="Q19" s="241">
        <f t="shared" si="3"/>
        <v>0.128609371838833</v>
      </c>
      <c r="R19" s="240">
        <f t="shared" si="4"/>
        <v>1.6461825244387198</v>
      </c>
      <c r="S19" s="240">
        <f t="shared" si="5"/>
        <v>1.4178488924617523</v>
      </c>
      <c r="T19" s="242">
        <f t="shared" si="6"/>
        <v>88.80482437300489</v>
      </c>
      <c r="U19" s="243">
        <f t="shared" si="7"/>
        <v>75.07724894707928</v>
      </c>
    </row>
    <row r="20" spans="1:21" s="247" customFormat="1" ht="13.5" customHeight="1">
      <c r="A20" s="786"/>
      <c r="B20" s="787"/>
      <c r="C20" s="252">
        <v>2001</v>
      </c>
      <c r="D20" s="249">
        <v>1899874</v>
      </c>
      <c r="E20" s="250">
        <v>3253589648</v>
      </c>
      <c r="F20" s="253">
        <v>5778</v>
      </c>
      <c r="G20" s="251">
        <v>5145</v>
      </c>
      <c r="H20" s="251">
        <v>138</v>
      </c>
      <c r="I20" s="251">
        <v>115</v>
      </c>
      <c r="J20" s="251">
        <v>95</v>
      </c>
      <c r="K20" s="251">
        <v>86</v>
      </c>
      <c r="L20" s="251">
        <v>268750</v>
      </c>
      <c r="M20" s="250">
        <v>232093</v>
      </c>
      <c r="N20" s="239">
        <f t="shared" si="0"/>
        <v>3.0412543147598208</v>
      </c>
      <c r="O20" s="240">
        <f t="shared" si="1"/>
        <v>2.7080743249289165</v>
      </c>
      <c r="P20" s="241">
        <f t="shared" si="2"/>
        <v>0.14145674923705467</v>
      </c>
      <c r="Q20" s="241">
        <f t="shared" si="3"/>
        <v>0.12216231181646783</v>
      </c>
      <c r="R20" s="240">
        <f t="shared" si="4"/>
        <v>1.7758846766529914</v>
      </c>
      <c r="S20" s="240">
        <f t="shared" si="5"/>
        <v>1.5813303325336865</v>
      </c>
      <c r="T20" s="242">
        <f t="shared" si="6"/>
        <v>82.60107422126885</v>
      </c>
      <c r="U20" s="243">
        <f t="shared" si="7"/>
        <v>71.33444137390494</v>
      </c>
    </row>
    <row r="21" spans="1:21" s="247" customFormat="1" ht="13.5" customHeight="1" thickBot="1">
      <c r="A21" s="788"/>
      <c r="B21" s="789"/>
      <c r="C21" s="389">
        <v>2000</v>
      </c>
      <c r="D21" s="390">
        <v>1900940</v>
      </c>
      <c r="E21" s="391">
        <v>3233846066</v>
      </c>
      <c r="F21" s="392">
        <v>6391</v>
      </c>
      <c r="G21" s="392">
        <v>5464</v>
      </c>
      <c r="H21" s="392">
        <v>133</v>
      </c>
      <c r="I21" s="392">
        <v>115</v>
      </c>
      <c r="J21" s="392">
        <v>88</v>
      </c>
      <c r="K21" s="393">
        <v>82</v>
      </c>
      <c r="L21" s="394">
        <v>302758</v>
      </c>
      <c r="M21" s="395">
        <v>256704</v>
      </c>
      <c r="N21" s="396">
        <f t="shared" si="0"/>
        <v>3.3620208949256685</v>
      </c>
      <c r="O21" s="397">
        <f t="shared" si="1"/>
        <v>2.8743674182246677</v>
      </c>
      <c r="P21" s="398">
        <f t="shared" si="2"/>
        <v>0.1592675202794407</v>
      </c>
      <c r="Q21" s="398">
        <f t="shared" si="3"/>
        <v>0.13504055888139552</v>
      </c>
      <c r="R21" s="397">
        <f t="shared" si="4"/>
        <v>1.976284544645979</v>
      </c>
      <c r="S21" s="397">
        <f t="shared" si="5"/>
        <v>1.6896289707315957</v>
      </c>
      <c r="T21" s="399">
        <f t="shared" si="6"/>
        <v>93.62164859457475</v>
      </c>
      <c r="U21" s="400">
        <f t="shared" si="7"/>
        <v>79.38040177574736</v>
      </c>
    </row>
    <row r="22" spans="1:21" s="247" customFormat="1" ht="13.5" customHeight="1">
      <c r="A22" s="790" t="s">
        <v>1258</v>
      </c>
      <c r="B22" s="776" t="s">
        <v>1259</v>
      </c>
      <c r="C22" s="477">
        <v>2014</v>
      </c>
      <c r="D22" s="278"/>
      <c r="E22" s="279"/>
      <c r="F22" s="280"/>
      <c r="G22" s="280"/>
      <c r="H22" s="280"/>
      <c r="I22" s="280"/>
      <c r="J22" s="280"/>
      <c r="K22" s="280"/>
      <c r="L22" s="280"/>
      <c r="M22" s="280"/>
      <c r="N22" s="282"/>
      <c r="O22" s="283"/>
      <c r="P22" s="284"/>
      <c r="Q22" s="284"/>
      <c r="R22" s="283"/>
      <c r="S22" s="283"/>
      <c r="T22" s="285"/>
      <c r="U22" s="286"/>
    </row>
    <row r="23" spans="1:21" s="247" customFormat="1" ht="13.5" customHeight="1">
      <c r="A23" s="791"/>
      <c r="B23" s="777"/>
      <c r="C23" s="504">
        <v>2013</v>
      </c>
      <c r="D23" s="519"/>
      <c r="E23" s="520"/>
      <c r="F23" s="521"/>
      <c r="G23" s="521"/>
      <c r="H23" s="521"/>
      <c r="I23" s="521"/>
      <c r="J23" s="521"/>
      <c r="K23" s="521"/>
      <c r="L23" s="521"/>
      <c r="M23" s="522"/>
      <c r="N23" s="288"/>
      <c r="O23" s="289"/>
      <c r="P23" s="290"/>
      <c r="Q23" s="290"/>
      <c r="R23" s="289"/>
      <c r="S23" s="289"/>
      <c r="T23" s="291"/>
      <c r="U23" s="292"/>
    </row>
    <row r="24" spans="1:21" s="247" customFormat="1" ht="13.5" customHeight="1">
      <c r="A24" s="791"/>
      <c r="B24" s="777"/>
      <c r="C24" s="504">
        <v>2012</v>
      </c>
      <c r="D24" s="258">
        <v>32327</v>
      </c>
      <c r="E24" s="259">
        <v>60118870</v>
      </c>
      <c r="F24" s="502">
        <v>159</v>
      </c>
      <c r="G24" s="503">
        <v>148</v>
      </c>
      <c r="H24" s="503">
        <v>4</v>
      </c>
      <c r="I24" s="503">
        <v>4</v>
      </c>
      <c r="J24" s="503">
        <v>1</v>
      </c>
      <c r="K24" s="503">
        <v>1</v>
      </c>
      <c r="L24" s="261">
        <v>12669</v>
      </c>
      <c r="M24" s="259">
        <v>11166</v>
      </c>
      <c r="N24" s="239">
        <f>F24*1000/D24</f>
        <v>4.918489188603953</v>
      </c>
      <c r="O24" s="240">
        <f>G24*1000/D24</f>
        <v>4.57821635165651</v>
      </c>
      <c r="P24" s="241">
        <f>L24/D24</f>
        <v>0.39190150648065086</v>
      </c>
      <c r="Q24" s="241">
        <f>M24/D24</f>
        <v>0.3454078633959229</v>
      </c>
      <c r="R24" s="240">
        <f>F24*1000000/E24</f>
        <v>2.6447602890739628</v>
      </c>
      <c r="S24" s="240">
        <f>G24*1000000/E24</f>
        <v>2.4617894514650724</v>
      </c>
      <c r="T24" s="242">
        <f>L24*1000000/E24</f>
        <v>210.73250378791218</v>
      </c>
      <c r="U24" s="243">
        <f>M24*1000000/E24</f>
        <v>185.73203388553378</v>
      </c>
    </row>
    <row r="25" spans="1:21" s="247" customFormat="1" ht="13.5" customHeight="1">
      <c r="A25" s="791"/>
      <c r="B25" s="777"/>
      <c r="C25" s="501" t="s">
        <v>1116</v>
      </c>
      <c r="D25" s="258">
        <v>32758</v>
      </c>
      <c r="E25" s="259">
        <v>61438088</v>
      </c>
      <c r="F25" s="502">
        <v>173</v>
      </c>
      <c r="G25" s="503">
        <v>163</v>
      </c>
      <c r="H25" s="503">
        <v>6</v>
      </c>
      <c r="I25" s="503">
        <v>6</v>
      </c>
      <c r="J25" s="503">
        <v>2</v>
      </c>
      <c r="K25" s="503">
        <v>2</v>
      </c>
      <c r="L25" s="261">
        <v>12250</v>
      </c>
      <c r="M25" s="259">
        <v>11605</v>
      </c>
      <c r="N25" s="239">
        <f>F25*1000/D25</f>
        <v>5.281152695524757</v>
      </c>
      <c r="O25" s="240">
        <f>G25*1000/D25</f>
        <v>4.97588375358691</v>
      </c>
      <c r="P25" s="241">
        <f>L25/D25</f>
        <v>0.3739544538738629</v>
      </c>
      <c r="Q25" s="241">
        <f>M25/D25</f>
        <v>0.3542646071188717</v>
      </c>
      <c r="R25" s="240">
        <f>F25*1000000/E25</f>
        <v>2.8158428367757797</v>
      </c>
      <c r="S25" s="240">
        <f>G25*1000000/E25</f>
        <v>2.6530773548812263</v>
      </c>
      <c r="T25" s="242">
        <f>L25*1000000/E25</f>
        <v>199.38771532082833</v>
      </c>
      <c r="U25" s="243">
        <f>M25*1000000/E25</f>
        <v>188.88934173862964</v>
      </c>
    </row>
    <row r="26" spans="1:21" s="247" customFormat="1" ht="13.5" customHeight="1">
      <c r="A26" s="791"/>
      <c r="B26" s="777"/>
      <c r="C26" s="501" t="s">
        <v>707</v>
      </c>
      <c r="D26" s="258">
        <v>32565</v>
      </c>
      <c r="E26" s="259">
        <v>60609962</v>
      </c>
      <c r="F26" s="502">
        <v>191</v>
      </c>
      <c r="G26" s="503">
        <v>181</v>
      </c>
      <c r="H26" s="503">
        <v>5</v>
      </c>
      <c r="I26" s="503">
        <v>5</v>
      </c>
      <c r="J26" s="503">
        <v>2</v>
      </c>
      <c r="K26" s="503">
        <v>1</v>
      </c>
      <c r="L26" s="261">
        <v>9916</v>
      </c>
      <c r="M26" s="259">
        <v>9476</v>
      </c>
      <c r="N26" s="239">
        <f>F26*1000/D26</f>
        <v>5.865192691539997</v>
      </c>
      <c r="O26" s="240">
        <f>G26*1000/D26</f>
        <v>5.558114540150468</v>
      </c>
      <c r="P26" s="241">
        <f>L26/D26</f>
        <v>0.3044986949178566</v>
      </c>
      <c r="Q26" s="241">
        <f>M26/D26</f>
        <v>0.29098725625671734</v>
      </c>
      <c r="R26" s="240">
        <f>F26*1000000/E26</f>
        <v>3.151297141549107</v>
      </c>
      <c r="S26" s="240">
        <f>G26*1000000/E26</f>
        <v>2.9863077624104104</v>
      </c>
      <c r="T26" s="242">
        <f>L26*1000000/E26</f>
        <v>163.60346835393165</v>
      </c>
      <c r="U26" s="243">
        <f>M26*1000000/E26</f>
        <v>156.343935671829</v>
      </c>
    </row>
    <row r="27" spans="1:21" s="247" customFormat="1" ht="13.5" customHeight="1">
      <c r="A27" s="791"/>
      <c r="B27" s="777"/>
      <c r="C27" s="505" t="s">
        <v>708</v>
      </c>
      <c r="D27" s="258">
        <v>37888</v>
      </c>
      <c r="E27" s="259">
        <v>70812872</v>
      </c>
      <c r="F27" s="506">
        <v>199</v>
      </c>
      <c r="G27" s="507">
        <v>189</v>
      </c>
      <c r="H27" s="507">
        <v>6</v>
      </c>
      <c r="I27" s="507">
        <v>6</v>
      </c>
      <c r="J27" s="507">
        <v>2</v>
      </c>
      <c r="K27" s="507">
        <v>2</v>
      </c>
      <c r="L27" s="261">
        <v>11114</v>
      </c>
      <c r="M27" s="259">
        <v>10381</v>
      </c>
      <c r="N27" s="239">
        <f>F27*1000/D27</f>
        <v>5.252322635135135</v>
      </c>
      <c r="O27" s="240">
        <f>G27*1000/D27</f>
        <v>4.988386824324325</v>
      </c>
      <c r="P27" s="241">
        <f>L27/D27</f>
        <v>0.29333826013513514</v>
      </c>
      <c r="Q27" s="241">
        <f>M27/D27</f>
        <v>0.2739917652027027</v>
      </c>
      <c r="R27" s="240">
        <f>F27*1000000/E27</f>
        <v>2.8102235424090694</v>
      </c>
      <c r="S27" s="240">
        <f>G27*1000000/E27</f>
        <v>2.6690062789714277</v>
      </c>
      <c r="T27" s="242">
        <f>L27*1000000/E27</f>
        <v>156.94886658459495</v>
      </c>
      <c r="U27" s="243">
        <f>M27*1000000/E27</f>
        <v>146.59764117461583</v>
      </c>
    </row>
    <row r="28" spans="1:21" s="262" customFormat="1" ht="13.5" customHeight="1">
      <c r="A28" s="791"/>
      <c r="B28" s="777"/>
      <c r="C28" s="257" t="s">
        <v>1260</v>
      </c>
      <c r="D28" s="258">
        <v>38578</v>
      </c>
      <c r="E28" s="259">
        <v>73205656</v>
      </c>
      <c r="F28" s="260">
        <v>266</v>
      </c>
      <c r="G28" s="261">
        <v>259</v>
      </c>
      <c r="H28" s="261">
        <v>7</v>
      </c>
      <c r="I28" s="261">
        <v>7</v>
      </c>
      <c r="J28" s="261">
        <v>5</v>
      </c>
      <c r="K28" s="261">
        <v>5</v>
      </c>
      <c r="L28" s="261">
        <v>17893</v>
      </c>
      <c r="M28" s="259">
        <v>17372</v>
      </c>
      <c r="N28" s="496">
        <f aca="true" t="shared" si="8" ref="N28:N36">F28*1000/D28</f>
        <v>6.895121571880346</v>
      </c>
      <c r="O28" s="497">
        <f aca="true" t="shared" si="9" ref="O28:O36">G28*1000/D28</f>
        <v>6.713671004199284</v>
      </c>
      <c r="P28" s="498">
        <f aca="true" t="shared" si="10" ref="P28:P36">L28/D28</f>
        <v>0.4638135725024625</v>
      </c>
      <c r="Q28" s="498">
        <f aca="true" t="shared" si="11" ref="Q28:Q36">M28/D28</f>
        <v>0.4503084659650578</v>
      </c>
      <c r="R28" s="497">
        <f aca="true" t="shared" si="12" ref="R28:R36">F28*1000000/E28</f>
        <v>3.6335990213652343</v>
      </c>
      <c r="S28" s="497">
        <f aca="true" t="shared" si="13" ref="S28:S36">G28*1000000/E28</f>
        <v>3.537977994487202</v>
      </c>
      <c r="T28" s="499">
        <f aca="true" t="shared" si="14" ref="T28:T36">L28*1000000/E28</f>
        <v>244.42100484694788</v>
      </c>
      <c r="U28" s="500">
        <f aca="true" t="shared" si="15" ref="U28:U36">M28*1000000/E28</f>
        <v>237.3040684178829</v>
      </c>
    </row>
    <row r="29" spans="1:21" s="262" customFormat="1" ht="13.5" customHeight="1">
      <c r="A29" s="791"/>
      <c r="B29" s="777"/>
      <c r="C29" s="257" t="s">
        <v>1261</v>
      </c>
      <c r="D29" s="258">
        <v>35747</v>
      </c>
      <c r="E29" s="259">
        <v>67734336</v>
      </c>
      <c r="F29" s="260">
        <v>279</v>
      </c>
      <c r="G29" s="261">
        <v>269</v>
      </c>
      <c r="H29" s="261">
        <v>15</v>
      </c>
      <c r="I29" s="261">
        <v>14</v>
      </c>
      <c r="J29" s="261">
        <v>5</v>
      </c>
      <c r="K29" s="261">
        <v>5</v>
      </c>
      <c r="L29" s="261">
        <v>17846</v>
      </c>
      <c r="M29" s="259">
        <v>16989</v>
      </c>
      <c r="N29" s="239">
        <f t="shared" si="8"/>
        <v>7.804850756706856</v>
      </c>
      <c r="O29" s="240">
        <f t="shared" si="9"/>
        <v>7.52510700198618</v>
      </c>
      <c r="P29" s="241">
        <f t="shared" si="10"/>
        <v>0.49923070467451813</v>
      </c>
      <c r="Q29" s="241">
        <f t="shared" si="11"/>
        <v>0.4752566648949562</v>
      </c>
      <c r="R29" s="240">
        <f t="shared" si="12"/>
        <v>4.119033513519643</v>
      </c>
      <c r="S29" s="240">
        <f t="shared" si="13"/>
        <v>3.971397903716071</v>
      </c>
      <c r="T29" s="242">
        <f t="shared" si="14"/>
        <v>263.4705092554535</v>
      </c>
      <c r="U29" s="243">
        <f t="shared" si="15"/>
        <v>250.81813749528746</v>
      </c>
    </row>
    <row r="30" spans="1:21" s="262" customFormat="1" ht="13.5" customHeight="1">
      <c r="A30" s="791"/>
      <c r="B30" s="777"/>
      <c r="C30" s="263" t="s">
        <v>1262</v>
      </c>
      <c r="D30" s="244">
        <v>33974</v>
      </c>
      <c r="E30" s="264">
        <v>64141272</v>
      </c>
      <c r="F30" s="265">
        <v>301</v>
      </c>
      <c r="G30" s="266">
        <v>280</v>
      </c>
      <c r="H30" s="266">
        <v>9</v>
      </c>
      <c r="I30" s="266">
        <v>7</v>
      </c>
      <c r="J30" s="266">
        <v>4</v>
      </c>
      <c r="K30" s="266">
        <v>4</v>
      </c>
      <c r="L30" s="266">
        <v>17416</v>
      </c>
      <c r="M30" s="264">
        <v>16574</v>
      </c>
      <c r="N30" s="239">
        <f t="shared" si="8"/>
        <v>8.859716253605699</v>
      </c>
      <c r="O30" s="240">
        <f t="shared" si="9"/>
        <v>8.241596514982046</v>
      </c>
      <c r="P30" s="241">
        <f t="shared" si="10"/>
        <v>0.5126273032318832</v>
      </c>
      <c r="Q30" s="241">
        <f t="shared" si="11"/>
        <v>0.48784364514040146</v>
      </c>
      <c r="R30" s="240">
        <f t="shared" si="12"/>
        <v>4.6927663049775505</v>
      </c>
      <c r="S30" s="240">
        <f t="shared" si="13"/>
        <v>4.365364004630279</v>
      </c>
      <c r="T30" s="242">
        <f t="shared" si="14"/>
        <v>271.5256410880034</v>
      </c>
      <c r="U30" s="243">
        <f t="shared" si="15"/>
        <v>258.3983679026509</v>
      </c>
    </row>
    <row r="31" spans="1:21" s="262" customFormat="1" ht="13.5" customHeight="1">
      <c r="A31" s="791"/>
      <c r="B31" s="777"/>
      <c r="C31" s="267">
        <v>2005</v>
      </c>
      <c r="D31" s="268">
        <v>26628</v>
      </c>
      <c r="E31" s="269">
        <v>48859476</v>
      </c>
      <c r="F31" s="270">
        <v>351</v>
      </c>
      <c r="G31" s="271">
        <v>335</v>
      </c>
      <c r="H31" s="271">
        <v>8</v>
      </c>
      <c r="I31" s="271">
        <v>6</v>
      </c>
      <c r="J31" s="271">
        <v>2</v>
      </c>
      <c r="K31" s="271">
        <v>2</v>
      </c>
      <c r="L31" s="271">
        <v>19351</v>
      </c>
      <c r="M31" s="272">
        <v>18306</v>
      </c>
      <c r="N31" s="239">
        <f t="shared" si="8"/>
        <v>13.181613339342046</v>
      </c>
      <c r="O31" s="240">
        <f t="shared" si="9"/>
        <v>12.580742076010214</v>
      </c>
      <c r="P31" s="241">
        <f t="shared" si="10"/>
        <v>0.7267162385458915</v>
      </c>
      <c r="Q31" s="241">
        <f t="shared" si="11"/>
        <v>0.6874718341595313</v>
      </c>
      <c r="R31" s="240">
        <f t="shared" si="12"/>
        <v>7.183867465136139</v>
      </c>
      <c r="S31" s="240">
        <f t="shared" si="13"/>
        <v>6.856397723135631</v>
      </c>
      <c r="T31" s="242">
        <f t="shared" si="14"/>
        <v>396.0541860907391</v>
      </c>
      <c r="U31" s="243">
        <f t="shared" si="15"/>
        <v>374.6663185663309</v>
      </c>
    </row>
    <row r="32" spans="1:21" s="262" customFormat="1" ht="13.5" customHeight="1">
      <c r="A32" s="791"/>
      <c r="B32" s="777"/>
      <c r="C32" s="273">
        <v>2004</v>
      </c>
      <c r="D32" s="268">
        <v>29327</v>
      </c>
      <c r="E32" s="269">
        <v>54072896</v>
      </c>
      <c r="F32" s="256">
        <v>325</v>
      </c>
      <c r="G32" s="271">
        <v>305</v>
      </c>
      <c r="H32" s="271">
        <v>7</v>
      </c>
      <c r="I32" s="271">
        <v>5</v>
      </c>
      <c r="J32" s="271">
        <v>2</v>
      </c>
      <c r="K32" s="271">
        <v>1</v>
      </c>
      <c r="L32" s="271">
        <v>19550</v>
      </c>
      <c r="M32" s="272">
        <v>17689</v>
      </c>
      <c r="N32" s="239">
        <f t="shared" si="8"/>
        <v>11.08193814573601</v>
      </c>
      <c r="O32" s="240">
        <f t="shared" si="9"/>
        <v>10.399972721383026</v>
      </c>
      <c r="P32" s="241">
        <f t="shared" si="10"/>
        <v>0.6666212023050432</v>
      </c>
      <c r="Q32" s="241">
        <f t="shared" si="11"/>
        <v>0.6031643195689979</v>
      </c>
      <c r="R32" s="240">
        <f t="shared" si="12"/>
        <v>6.010404917095618</v>
      </c>
      <c r="S32" s="240">
        <f t="shared" si="13"/>
        <v>5.64053384527435</v>
      </c>
      <c r="T32" s="242">
        <f t="shared" si="14"/>
        <v>361.5489727052903</v>
      </c>
      <c r="U32" s="243">
        <f t="shared" si="15"/>
        <v>327.1324694723212</v>
      </c>
    </row>
    <row r="33" spans="1:21" s="262" customFormat="1" ht="13.5" customHeight="1">
      <c r="A33" s="791"/>
      <c r="B33" s="777"/>
      <c r="C33" s="273">
        <v>2003</v>
      </c>
      <c r="D33" s="268">
        <v>32575</v>
      </c>
      <c r="E33" s="269">
        <v>60525912</v>
      </c>
      <c r="F33" s="256">
        <v>513</v>
      </c>
      <c r="G33" s="271">
        <v>488</v>
      </c>
      <c r="H33" s="271">
        <v>8</v>
      </c>
      <c r="I33" s="271">
        <v>8</v>
      </c>
      <c r="J33" s="271">
        <v>3</v>
      </c>
      <c r="K33" s="271">
        <v>3</v>
      </c>
      <c r="L33" s="271">
        <v>24996</v>
      </c>
      <c r="M33" s="272">
        <v>23556</v>
      </c>
      <c r="N33" s="239">
        <f t="shared" si="8"/>
        <v>15.748273215656178</v>
      </c>
      <c r="O33" s="240">
        <f t="shared" si="9"/>
        <v>14.980813507290867</v>
      </c>
      <c r="P33" s="241">
        <f t="shared" si="10"/>
        <v>0.7673369148119724</v>
      </c>
      <c r="Q33" s="241">
        <f t="shared" si="11"/>
        <v>0.7231312356101305</v>
      </c>
      <c r="R33" s="240">
        <f t="shared" si="12"/>
        <v>8.475708717945464</v>
      </c>
      <c r="S33" s="240">
        <f t="shared" si="13"/>
        <v>8.06266248412746</v>
      </c>
      <c r="T33" s="242">
        <f t="shared" si="14"/>
        <v>412.9801464205942</v>
      </c>
      <c r="U33" s="243">
        <f t="shared" si="15"/>
        <v>389.1886833526771</v>
      </c>
    </row>
    <row r="34" spans="1:21" s="262" customFormat="1" ht="13.5" customHeight="1">
      <c r="A34" s="791"/>
      <c r="B34" s="777"/>
      <c r="C34" s="274">
        <v>2002</v>
      </c>
      <c r="D34" s="275">
        <v>33754</v>
      </c>
      <c r="E34" s="276">
        <v>55525404</v>
      </c>
      <c r="F34" s="270">
        <v>633</v>
      </c>
      <c r="G34" s="271">
        <v>597</v>
      </c>
      <c r="H34" s="271">
        <v>11</v>
      </c>
      <c r="I34" s="271">
        <v>9</v>
      </c>
      <c r="J34" s="271">
        <v>8</v>
      </c>
      <c r="K34" s="271">
        <v>6</v>
      </c>
      <c r="L34" s="271">
        <v>32758</v>
      </c>
      <c r="M34" s="272">
        <v>29339</v>
      </c>
      <c r="N34" s="239">
        <f t="shared" si="8"/>
        <v>18.753332938318422</v>
      </c>
      <c r="O34" s="240">
        <f t="shared" si="9"/>
        <v>17.686792676423536</v>
      </c>
      <c r="P34" s="241">
        <f t="shared" si="10"/>
        <v>0.9704923860875748</v>
      </c>
      <c r="Q34" s="241">
        <f t="shared" si="11"/>
        <v>0.8692006873259466</v>
      </c>
      <c r="R34" s="240">
        <f t="shared" si="12"/>
        <v>11.400187200799115</v>
      </c>
      <c r="S34" s="240">
        <f t="shared" si="13"/>
        <v>10.751835322080682</v>
      </c>
      <c r="T34" s="242">
        <f t="shared" si="14"/>
        <v>589.9641900849564</v>
      </c>
      <c r="U34" s="243">
        <f t="shared" si="15"/>
        <v>528.3887713811141</v>
      </c>
    </row>
    <row r="35" spans="1:21" s="262" customFormat="1" ht="13.5" customHeight="1">
      <c r="A35" s="791"/>
      <c r="B35" s="777"/>
      <c r="C35" s="273">
        <v>2001</v>
      </c>
      <c r="D35" s="268">
        <v>36928</v>
      </c>
      <c r="E35" s="269">
        <v>61056751</v>
      </c>
      <c r="F35" s="256">
        <v>668</v>
      </c>
      <c r="G35" s="271">
        <v>632</v>
      </c>
      <c r="H35" s="271">
        <v>7</v>
      </c>
      <c r="I35" s="271">
        <v>5</v>
      </c>
      <c r="J35" s="271">
        <v>5</v>
      </c>
      <c r="K35" s="271">
        <v>4</v>
      </c>
      <c r="L35" s="251">
        <v>32318</v>
      </c>
      <c r="M35" s="250">
        <v>29829</v>
      </c>
      <c r="N35" s="239">
        <f t="shared" si="8"/>
        <v>18.089254766031196</v>
      </c>
      <c r="O35" s="240">
        <f t="shared" si="9"/>
        <v>17.114384748700175</v>
      </c>
      <c r="P35" s="241">
        <f t="shared" si="10"/>
        <v>0.8751624783362218</v>
      </c>
      <c r="Q35" s="241">
        <f t="shared" si="11"/>
        <v>0.807761048526863</v>
      </c>
      <c r="R35" s="240">
        <f t="shared" si="12"/>
        <v>10.940641109449142</v>
      </c>
      <c r="S35" s="240">
        <f t="shared" si="13"/>
        <v>10.351025720317152</v>
      </c>
      <c r="T35" s="242">
        <f t="shared" si="14"/>
        <v>529.3108373879901</v>
      </c>
      <c r="U35" s="243">
        <f t="shared" si="15"/>
        <v>488.54548451161446</v>
      </c>
    </row>
    <row r="36" spans="1:21" s="262" customFormat="1" ht="13.5" customHeight="1" thickBot="1">
      <c r="A36" s="792"/>
      <c r="B36" s="778"/>
      <c r="C36" s="389">
        <v>2000</v>
      </c>
      <c r="D36" s="390">
        <v>40383</v>
      </c>
      <c r="E36" s="391">
        <v>66471112</v>
      </c>
      <c r="F36" s="392">
        <v>715</v>
      </c>
      <c r="G36" s="392">
        <v>661</v>
      </c>
      <c r="H36" s="392">
        <v>15</v>
      </c>
      <c r="I36" s="392">
        <v>12</v>
      </c>
      <c r="J36" s="392">
        <v>6</v>
      </c>
      <c r="K36" s="393">
        <v>5</v>
      </c>
      <c r="L36" s="394">
        <v>33207</v>
      </c>
      <c r="M36" s="395">
        <v>30408</v>
      </c>
      <c r="N36" s="396">
        <f t="shared" si="8"/>
        <v>17.705470123566847</v>
      </c>
      <c r="O36" s="397">
        <f t="shared" si="9"/>
        <v>16.36827377857019</v>
      </c>
      <c r="P36" s="398">
        <f t="shared" si="10"/>
        <v>0.8223014634871109</v>
      </c>
      <c r="Q36" s="398">
        <f t="shared" si="11"/>
        <v>0.7529901196047842</v>
      </c>
      <c r="R36" s="397">
        <f t="shared" si="12"/>
        <v>10.756552410316228</v>
      </c>
      <c r="S36" s="397">
        <f t="shared" si="13"/>
        <v>9.944169431075563</v>
      </c>
      <c r="T36" s="399">
        <f t="shared" si="14"/>
        <v>499.57039984527415</v>
      </c>
      <c r="U36" s="400">
        <f t="shared" si="15"/>
        <v>457.4618820879663</v>
      </c>
    </row>
    <row r="37" spans="1:21" s="262" customFormat="1" ht="13.5" customHeight="1">
      <c r="A37" s="793" t="s">
        <v>2972</v>
      </c>
      <c r="B37" s="776" t="s">
        <v>1263</v>
      </c>
      <c r="C37" s="523">
        <v>2014</v>
      </c>
      <c r="D37" s="524"/>
      <c r="E37" s="525"/>
      <c r="F37" s="526">
        <v>66</v>
      </c>
      <c r="G37" s="526">
        <v>63</v>
      </c>
      <c r="H37" s="526"/>
      <c r="I37" s="526"/>
      <c r="J37" s="526">
        <v>1</v>
      </c>
      <c r="K37" s="527"/>
      <c r="L37" s="528">
        <v>5082</v>
      </c>
      <c r="M37" s="528">
        <v>4818</v>
      </c>
      <c r="N37" s="529"/>
      <c r="O37" s="530"/>
      <c r="P37" s="531"/>
      <c r="Q37" s="531"/>
      <c r="R37" s="530"/>
      <c r="S37" s="530"/>
      <c r="T37" s="532"/>
      <c r="U37" s="533"/>
    </row>
    <row r="38" spans="1:21" s="262" customFormat="1" ht="13.5" customHeight="1">
      <c r="A38" s="794"/>
      <c r="B38" s="783"/>
      <c r="C38" s="534">
        <v>2013</v>
      </c>
      <c r="D38" s="518"/>
      <c r="E38" s="518"/>
      <c r="F38" s="518">
        <v>79</v>
      </c>
      <c r="G38" s="518">
        <v>71</v>
      </c>
      <c r="H38" s="518">
        <v>7</v>
      </c>
      <c r="I38" s="518">
        <v>7</v>
      </c>
      <c r="J38" s="518"/>
      <c r="K38" s="518"/>
      <c r="L38" s="359">
        <v>5830</v>
      </c>
      <c r="M38" s="359">
        <v>5090</v>
      </c>
      <c r="N38" s="293"/>
      <c r="O38" s="294"/>
      <c r="P38" s="295"/>
      <c r="Q38" s="295"/>
      <c r="R38" s="294"/>
      <c r="S38" s="294"/>
      <c r="T38" s="296"/>
      <c r="U38" s="297"/>
    </row>
    <row r="39" spans="1:21" s="262" customFormat="1" ht="13.5" customHeight="1">
      <c r="A39" s="794"/>
      <c r="B39" s="777"/>
      <c r="C39" s="307">
        <v>2012</v>
      </c>
      <c r="D39" s="308">
        <v>16924</v>
      </c>
      <c r="E39" s="309">
        <v>31915196</v>
      </c>
      <c r="F39" s="308">
        <v>66</v>
      </c>
      <c r="G39" s="310">
        <v>60</v>
      </c>
      <c r="H39" s="310">
        <v>1</v>
      </c>
      <c r="I39" s="310">
        <v>1</v>
      </c>
      <c r="J39" s="310">
        <v>1</v>
      </c>
      <c r="K39" s="310">
        <v>1</v>
      </c>
      <c r="L39" s="310">
        <v>6052</v>
      </c>
      <c r="M39" s="309">
        <v>5369</v>
      </c>
      <c r="N39" s="293">
        <f>F39*1000/D39</f>
        <v>3.8997872843299457</v>
      </c>
      <c r="O39" s="294">
        <f>G39*1000/D39</f>
        <v>3.545261167572678</v>
      </c>
      <c r="P39" s="295">
        <f>L39/D39</f>
        <v>0.35759867643583076</v>
      </c>
      <c r="Q39" s="295">
        <f>M39/D39</f>
        <v>0.31724178681162846</v>
      </c>
      <c r="R39" s="294">
        <f>F39*1000000/E39</f>
        <v>2.0679804065749745</v>
      </c>
      <c r="S39" s="294">
        <f>G39*1000000/E39</f>
        <v>1.8799821877954315</v>
      </c>
      <c r="T39" s="296">
        <f>L39*1000000/E39</f>
        <v>189.6275366756325</v>
      </c>
      <c r="U39" s="297">
        <f>M39*1000000/E39</f>
        <v>168.22707277122785</v>
      </c>
    </row>
    <row r="40" spans="1:21" s="262" customFormat="1" ht="13.5" customHeight="1">
      <c r="A40" s="794"/>
      <c r="B40" s="777"/>
      <c r="C40" s="307" t="s">
        <v>1116</v>
      </c>
      <c r="D40" s="308">
        <v>17571</v>
      </c>
      <c r="E40" s="309">
        <v>33683596</v>
      </c>
      <c r="F40" s="308">
        <v>75</v>
      </c>
      <c r="G40" s="310">
        <v>69</v>
      </c>
      <c r="H40" s="310">
        <v>1</v>
      </c>
      <c r="I40" s="310">
        <v>1</v>
      </c>
      <c r="J40" s="310">
        <v>1</v>
      </c>
      <c r="K40" s="310">
        <v>1</v>
      </c>
      <c r="L40" s="310">
        <v>7013</v>
      </c>
      <c r="M40" s="309">
        <v>6449</v>
      </c>
      <c r="N40" s="293">
        <f>F40*1000/D40</f>
        <v>4.268396790165614</v>
      </c>
      <c r="O40" s="294">
        <f>G40*1000/D40</f>
        <v>3.926925046952365</v>
      </c>
      <c r="P40" s="295">
        <f>L40/D40</f>
        <v>0.399123555859086</v>
      </c>
      <c r="Q40" s="295">
        <f>M40/D40</f>
        <v>0.3670252119970406</v>
      </c>
      <c r="R40" s="294">
        <f>F40*1000000/E40</f>
        <v>2.2266031215906996</v>
      </c>
      <c r="S40" s="294">
        <f>G40*1000000/E40</f>
        <v>2.0484748718634433</v>
      </c>
      <c r="T40" s="296">
        <f>L40*1000000/E40</f>
        <v>208.20223588954102</v>
      </c>
      <c r="U40" s="297">
        <f>M40*1000000/E40</f>
        <v>191.45818041517896</v>
      </c>
    </row>
    <row r="41" spans="1:21" s="262" customFormat="1" ht="13.5" customHeight="1">
      <c r="A41" s="794"/>
      <c r="B41" s="777"/>
      <c r="C41" s="307" t="s">
        <v>707</v>
      </c>
      <c r="D41" s="308">
        <v>17740</v>
      </c>
      <c r="E41" s="309">
        <v>33617477</v>
      </c>
      <c r="F41" s="308">
        <v>71</v>
      </c>
      <c r="G41" s="310">
        <v>63</v>
      </c>
      <c r="H41" s="310">
        <v>1</v>
      </c>
      <c r="I41" s="310">
        <v>1</v>
      </c>
      <c r="J41" s="310">
        <v>1</v>
      </c>
      <c r="K41" s="310">
        <v>0</v>
      </c>
      <c r="L41" s="310">
        <v>4395</v>
      </c>
      <c r="M41" s="309">
        <v>4234</v>
      </c>
      <c r="N41" s="293">
        <f>F41*1000/D41</f>
        <v>4.002254791431793</v>
      </c>
      <c r="O41" s="294">
        <f>G41*1000/D41</f>
        <v>3.5512965050732808</v>
      </c>
      <c r="P41" s="295">
        <f>L41/D41</f>
        <v>0.24774520856820745</v>
      </c>
      <c r="Q41" s="295">
        <f>M41/D41</f>
        <v>0.2386696730552424</v>
      </c>
      <c r="R41" s="294">
        <f>F41*1000000/E41</f>
        <v>2.1119966855335397</v>
      </c>
      <c r="S41" s="294">
        <f>G41*1000000/E41</f>
        <v>1.8740252280086338</v>
      </c>
      <c r="T41" s="296">
        <f>L41*1000000/E41</f>
        <v>130.73556947774517</v>
      </c>
      <c r="U41" s="297">
        <f>M41*1000000/E41</f>
        <v>125.94639389505643</v>
      </c>
    </row>
    <row r="42" spans="1:21" s="262" customFormat="1" ht="13.5" customHeight="1">
      <c r="A42" s="794"/>
      <c r="B42" s="777"/>
      <c r="C42" s="307" t="s">
        <v>708</v>
      </c>
      <c r="D42" s="308">
        <v>18447</v>
      </c>
      <c r="E42" s="309">
        <v>35154322</v>
      </c>
      <c r="F42" s="308">
        <v>75</v>
      </c>
      <c r="G42" s="310">
        <v>65</v>
      </c>
      <c r="H42" s="310">
        <v>3</v>
      </c>
      <c r="I42" s="310">
        <v>3</v>
      </c>
      <c r="J42" s="310">
        <v>0</v>
      </c>
      <c r="K42" s="310">
        <v>0</v>
      </c>
      <c r="L42" s="310">
        <v>5358</v>
      </c>
      <c r="M42" s="309">
        <v>4625</v>
      </c>
      <c r="N42" s="293">
        <f>F42*1000/D42</f>
        <v>4.065701740120344</v>
      </c>
      <c r="O42" s="294">
        <f>G42*1000/D42</f>
        <v>3.5236081747709656</v>
      </c>
      <c r="P42" s="295">
        <f>L42/D42</f>
        <v>0.2904537323141974</v>
      </c>
      <c r="Q42" s="295">
        <f>M42/D42</f>
        <v>0.2507182739740879</v>
      </c>
      <c r="R42" s="294">
        <f>F42*1000000/E42</f>
        <v>2.1334503336460306</v>
      </c>
      <c r="S42" s="294">
        <f>G42*1000000/E42</f>
        <v>1.8489902891598933</v>
      </c>
      <c r="T42" s="296">
        <f>L42*1000000/E42</f>
        <v>152.41369183567244</v>
      </c>
      <c r="U42" s="297">
        <f>M42*1000000/E42</f>
        <v>131.56277057483857</v>
      </c>
    </row>
    <row r="43" spans="1:21" s="298" customFormat="1" ht="13.5" customHeight="1">
      <c r="A43" s="794"/>
      <c r="B43" s="777"/>
      <c r="C43" s="307" t="s">
        <v>1260</v>
      </c>
      <c r="D43" s="308">
        <v>17530</v>
      </c>
      <c r="E43" s="309">
        <v>33530949</v>
      </c>
      <c r="F43" s="308">
        <v>89</v>
      </c>
      <c r="G43" s="310">
        <v>85</v>
      </c>
      <c r="H43" s="310">
        <v>4</v>
      </c>
      <c r="I43" s="310">
        <v>4</v>
      </c>
      <c r="J43" s="310">
        <v>2</v>
      </c>
      <c r="K43" s="310">
        <v>2</v>
      </c>
      <c r="L43" s="310">
        <v>7125</v>
      </c>
      <c r="M43" s="309">
        <v>6856</v>
      </c>
      <c r="N43" s="293">
        <f aca="true" t="shared" si="16" ref="N43:N51">F43*1000/D43</f>
        <v>5.077010838562464</v>
      </c>
      <c r="O43" s="294">
        <f aca="true" t="shared" si="17" ref="O43:O51">G43*1000/D43</f>
        <v>4.848830576155162</v>
      </c>
      <c r="P43" s="295">
        <f aca="true" t="shared" si="18" ref="P43:P51">L43/D43</f>
        <v>0.4064460924130063</v>
      </c>
      <c r="Q43" s="295">
        <f aca="true" t="shared" si="19" ref="Q43:Q51">M43/D43</f>
        <v>0.39110096976611525</v>
      </c>
      <c r="R43" s="294">
        <f aca="true" t="shared" si="20" ref="R43:R51">F43*1000000/E43</f>
        <v>2.654264273880229</v>
      </c>
      <c r="S43" s="294">
        <f aca="true" t="shared" si="21" ref="S43:S51">G43*1000000/E43</f>
        <v>2.5349714975260618</v>
      </c>
      <c r="T43" s="296">
        <f aca="true" t="shared" si="22" ref="T43:T51">L43*1000000/E43</f>
        <v>212.49025788086107</v>
      </c>
      <c r="U43" s="297">
        <f aca="true" t="shared" si="23" ref="U43:U51">M43*1000000/E43</f>
        <v>204.4678186710433</v>
      </c>
    </row>
    <row r="44" spans="1:21" s="298" customFormat="1" ht="13.5" customHeight="1">
      <c r="A44" s="794"/>
      <c r="B44" s="777"/>
      <c r="C44" s="307" t="s">
        <v>1261</v>
      </c>
      <c r="D44" s="308">
        <v>16130</v>
      </c>
      <c r="E44" s="309">
        <v>30669273</v>
      </c>
      <c r="F44" s="308">
        <v>93</v>
      </c>
      <c r="G44" s="310">
        <v>87</v>
      </c>
      <c r="H44" s="310">
        <v>8</v>
      </c>
      <c r="I44" s="310">
        <v>7</v>
      </c>
      <c r="J44" s="310">
        <v>2</v>
      </c>
      <c r="K44" s="310">
        <v>2</v>
      </c>
      <c r="L44" s="310">
        <v>7460</v>
      </c>
      <c r="M44" s="309">
        <v>6781</v>
      </c>
      <c r="N44" s="293">
        <f t="shared" si="16"/>
        <v>5.765654060756354</v>
      </c>
      <c r="O44" s="294">
        <f t="shared" si="17"/>
        <v>5.393676379417235</v>
      </c>
      <c r="P44" s="295">
        <f t="shared" si="18"/>
        <v>0.4624922504649721</v>
      </c>
      <c r="Q44" s="295">
        <f t="shared" si="19"/>
        <v>0.4203967761934284</v>
      </c>
      <c r="R44" s="294">
        <f t="shared" si="20"/>
        <v>3.0323509787793146</v>
      </c>
      <c r="S44" s="294">
        <f t="shared" si="21"/>
        <v>2.836715431761294</v>
      </c>
      <c r="T44" s="296">
        <f t="shared" si="22"/>
        <v>243.24019679240521</v>
      </c>
      <c r="U44" s="297">
        <f t="shared" si="23"/>
        <v>221.10077405486592</v>
      </c>
    </row>
    <row r="45" spans="1:21" s="298" customFormat="1" ht="13.5" customHeight="1">
      <c r="A45" s="794"/>
      <c r="B45" s="777"/>
      <c r="C45" s="307" t="s">
        <v>1262</v>
      </c>
      <c r="D45" s="308">
        <v>15128</v>
      </c>
      <c r="E45" s="309">
        <v>28730266</v>
      </c>
      <c r="F45" s="308">
        <v>109</v>
      </c>
      <c r="G45" s="310">
        <v>102</v>
      </c>
      <c r="H45" s="310">
        <v>3</v>
      </c>
      <c r="I45" s="310">
        <v>2</v>
      </c>
      <c r="J45" s="310">
        <v>2</v>
      </c>
      <c r="K45" s="310">
        <v>2</v>
      </c>
      <c r="L45" s="310">
        <v>6574</v>
      </c>
      <c r="M45" s="309">
        <v>6380</v>
      </c>
      <c r="N45" s="293">
        <f t="shared" si="16"/>
        <v>7.205182443151772</v>
      </c>
      <c r="O45" s="294">
        <f t="shared" si="17"/>
        <v>6.74246430460074</v>
      </c>
      <c r="P45" s="295">
        <f t="shared" si="18"/>
        <v>0.43455843469063987</v>
      </c>
      <c r="Q45" s="295">
        <f t="shared" si="19"/>
        <v>0.4217345319936541</v>
      </c>
      <c r="R45" s="294">
        <f t="shared" si="20"/>
        <v>3.793908486611297</v>
      </c>
      <c r="S45" s="294">
        <f t="shared" si="21"/>
        <v>3.550262987471122</v>
      </c>
      <c r="T45" s="296">
        <f t="shared" si="22"/>
        <v>228.81793019250154</v>
      </c>
      <c r="U45" s="297">
        <f t="shared" si="23"/>
        <v>222.06546921633097</v>
      </c>
    </row>
    <row r="46" spans="1:21" s="298" customFormat="1" ht="13.5" customHeight="1">
      <c r="A46" s="794"/>
      <c r="B46" s="777"/>
      <c r="C46" s="307">
        <v>2005</v>
      </c>
      <c r="D46" s="308">
        <v>12580</v>
      </c>
      <c r="E46" s="309">
        <v>23014013</v>
      </c>
      <c r="F46" s="308">
        <v>124</v>
      </c>
      <c r="G46" s="310">
        <v>112</v>
      </c>
      <c r="H46" s="310">
        <v>6</v>
      </c>
      <c r="I46" s="310">
        <v>4</v>
      </c>
      <c r="J46" s="310">
        <v>1</v>
      </c>
      <c r="K46" s="310">
        <v>1</v>
      </c>
      <c r="L46" s="310">
        <v>8980</v>
      </c>
      <c r="M46" s="309">
        <v>8180</v>
      </c>
      <c r="N46" s="293">
        <f t="shared" si="16"/>
        <v>9.85691573926868</v>
      </c>
      <c r="O46" s="294">
        <f t="shared" si="17"/>
        <v>8.90302066772655</v>
      </c>
      <c r="P46" s="295">
        <f t="shared" si="18"/>
        <v>0.7138314785373608</v>
      </c>
      <c r="Q46" s="295">
        <f t="shared" si="19"/>
        <v>0.6502384737678856</v>
      </c>
      <c r="R46" s="294">
        <f t="shared" si="20"/>
        <v>5.3880216370782446</v>
      </c>
      <c r="S46" s="294">
        <f t="shared" si="21"/>
        <v>4.866600188328737</v>
      </c>
      <c r="T46" s="296">
        <f t="shared" si="22"/>
        <v>390.1970508142148</v>
      </c>
      <c r="U46" s="297">
        <f t="shared" si="23"/>
        <v>355.435620897581</v>
      </c>
    </row>
    <row r="47" spans="1:21" s="298" customFormat="1" ht="13.5" customHeight="1">
      <c r="A47" s="794"/>
      <c r="B47" s="777"/>
      <c r="C47" s="311">
        <v>2004</v>
      </c>
      <c r="D47" s="312">
        <v>16015</v>
      </c>
      <c r="E47" s="313">
        <v>29394015</v>
      </c>
      <c r="F47" s="314">
        <v>180</v>
      </c>
      <c r="G47" s="315">
        <v>164</v>
      </c>
      <c r="H47" s="315">
        <v>4</v>
      </c>
      <c r="I47" s="315">
        <v>2</v>
      </c>
      <c r="J47" s="315">
        <v>2</v>
      </c>
      <c r="K47" s="315">
        <v>1</v>
      </c>
      <c r="L47" s="315">
        <v>13042</v>
      </c>
      <c r="M47" s="316">
        <v>11521</v>
      </c>
      <c r="N47" s="293">
        <f t="shared" si="16"/>
        <v>11.239463003434281</v>
      </c>
      <c r="O47" s="294">
        <f t="shared" si="17"/>
        <v>10.240399625351234</v>
      </c>
      <c r="P47" s="295">
        <f t="shared" si="18"/>
        <v>0.8143615360599438</v>
      </c>
      <c r="Q47" s="295">
        <f t="shared" si="19"/>
        <v>0.7193880736809242</v>
      </c>
      <c r="R47" s="294">
        <f t="shared" si="20"/>
        <v>6.123695589051036</v>
      </c>
      <c r="S47" s="294">
        <f t="shared" si="21"/>
        <v>5.5793670922465</v>
      </c>
      <c r="T47" s="296">
        <f t="shared" si="22"/>
        <v>443.69576595779785</v>
      </c>
      <c r="U47" s="297">
        <f t="shared" si="23"/>
        <v>391.9505382303166</v>
      </c>
    </row>
    <row r="48" spans="1:21" s="298" customFormat="1" ht="13.5" customHeight="1">
      <c r="A48" s="794"/>
      <c r="B48" s="777"/>
      <c r="C48" s="317">
        <v>2003</v>
      </c>
      <c r="D48" s="318">
        <v>18631</v>
      </c>
      <c r="E48" s="318">
        <v>34469984</v>
      </c>
      <c r="F48" s="319">
        <v>246</v>
      </c>
      <c r="G48" s="320">
        <v>233</v>
      </c>
      <c r="H48" s="320">
        <v>3</v>
      </c>
      <c r="I48" s="320">
        <v>3</v>
      </c>
      <c r="J48" s="320">
        <v>1</v>
      </c>
      <c r="K48" s="320">
        <v>1</v>
      </c>
      <c r="L48" s="318">
        <v>12640</v>
      </c>
      <c r="M48" s="321">
        <v>11904</v>
      </c>
      <c r="N48" s="293">
        <f t="shared" si="16"/>
        <v>13.203800118082766</v>
      </c>
      <c r="O48" s="294">
        <f t="shared" si="17"/>
        <v>12.506038323224733</v>
      </c>
      <c r="P48" s="295">
        <f t="shared" si="18"/>
        <v>0.6784391605388868</v>
      </c>
      <c r="Q48" s="295">
        <f t="shared" si="19"/>
        <v>0.6389351081530782</v>
      </c>
      <c r="R48" s="294">
        <f t="shared" si="20"/>
        <v>7.13664386963452</v>
      </c>
      <c r="S48" s="294">
        <f t="shared" si="21"/>
        <v>6.759504152946517</v>
      </c>
      <c r="T48" s="296">
        <f t="shared" si="22"/>
        <v>366.6958476104892</v>
      </c>
      <c r="U48" s="297">
        <f t="shared" si="23"/>
        <v>345.3439374964607</v>
      </c>
    </row>
    <row r="49" spans="1:21" s="298" customFormat="1" ht="13.5" customHeight="1">
      <c r="A49" s="794"/>
      <c r="B49" s="777"/>
      <c r="C49" s="217">
        <v>2002</v>
      </c>
      <c r="D49" s="322">
        <v>18231</v>
      </c>
      <c r="E49" s="323">
        <v>29444362</v>
      </c>
      <c r="F49" s="312">
        <v>329</v>
      </c>
      <c r="G49" s="324">
        <v>300</v>
      </c>
      <c r="H49" s="324">
        <v>8</v>
      </c>
      <c r="I49" s="324">
        <v>6</v>
      </c>
      <c r="J49" s="324">
        <v>4</v>
      </c>
      <c r="K49" s="324">
        <v>2</v>
      </c>
      <c r="L49" s="324">
        <v>20180</v>
      </c>
      <c r="M49" s="313">
        <v>16907</v>
      </c>
      <c r="N49" s="293">
        <f t="shared" si="16"/>
        <v>18.046185069387306</v>
      </c>
      <c r="O49" s="294">
        <f t="shared" si="17"/>
        <v>16.45548790521639</v>
      </c>
      <c r="P49" s="295">
        <f t="shared" si="18"/>
        <v>1.1069058197575559</v>
      </c>
      <c r="Q49" s="295">
        <f t="shared" si="19"/>
        <v>0.927376446711645</v>
      </c>
      <c r="R49" s="294">
        <f t="shared" si="20"/>
        <v>11.173616191785714</v>
      </c>
      <c r="S49" s="294">
        <f t="shared" si="21"/>
        <v>10.188707773664785</v>
      </c>
      <c r="T49" s="296">
        <f t="shared" si="22"/>
        <v>685.3604095751846</v>
      </c>
      <c r="U49" s="297">
        <f t="shared" si="23"/>
        <v>574.2016077645018</v>
      </c>
    </row>
    <row r="50" spans="1:21" s="298" customFormat="1" ht="13.5" customHeight="1">
      <c r="A50" s="794"/>
      <c r="B50" s="777"/>
      <c r="C50" s="317">
        <v>2001</v>
      </c>
      <c r="D50" s="325">
        <v>20258</v>
      </c>
      <c r="E50" s="323">
        <v>32933102</v>
      </c>
      <c r="F50" s="314">
        <v>361</v>
      </c>
      <c r="G50" s="315">
        <v>341</v>
      </c>
      <c r="H50" s="315">
        <v>5</v>
      </c>
      <c r="I50" s="315">
        <v>3</v>
      </c>
      <c r="J50" s="315">
        <v>3</v>
      </c>
      <c r="K50" s="315">
        <v>3</v>
      </c>
      <c r="L50" s="315">
        <v>18528</v>
      </c>
      <c r="M50" s="316">
        <v>17109</v>
      </c>
      <c r="N50" s="293">
        <f t="shared" si="16"/>
        <v>17.82012044624346</v>
      </c>
      <c r="O50" s="294">
        <f t="shared" si="17"/>
        <v>16.832856155592854</v>
      </c>
      <c r="P50" s="295">
        <f t="shared" si="18"/>
        <v>0.9146016388587225</v>
      </c>
      <c r="Q50" s="295">
        <f t="shared" si="19"/>
        <v>0.844555237437062</v>
      </c>
      <c r="R50" s="294">
        <f t="shared" si="20"/>
        <v>10.961615459120734</v>
      </c>
      <c r="S50" s="294">
        <f t="shared" si="21"/>
        <v>10.35432374393399</v>
      </c>
      <c r="T50" s="296">
        <f t="shared" si="22"/>
        <v>562.595044949</v>
      </c>
      <c r="U50" s="297">
        <f t="shared" si="23"/>
        <v>519.5076977565004</v>
      </c>
    </row>
    <row r="51" spans="1:21" s="298" customFormat="1" ht="13.5" customHeight="1" thickBot="1">
      <c r="A51" s="795"/>
      <c r="B51" s="778"/>
      <c r="C51" s="326">
        <v>2000</v>
      </c>
      <c r="D51" s="327">
        <v>22828</v>
      </c>
      <c r="E51" s="328">
        <v>37106573</v>
      </c>
      <c r="F51" s="329">
        <v>397</v>
      </c>
      <c r="G51" s="330">
        <v>362</v>
      </c>
      <c r="H51" s="330">
        <v>6</v>
      </c>
      <c r="I51" s="330">
        <v>5</v>
      </c>
      <c r="J51" s="330">
        <v>2</v>
      </c>
      <c r="K51" s="330">
        <v>2</v>
      </c>
      <c r="L51" s="330">
        <v>21339</v>
      </c>
      <c r="M51" s="331">
        <v>19158</v>
      </c>
      <c r="N51" s="288">
        <f t="shared" si="16"/>
        <v>17.390923427369895</v>
      </c>
      <c r="O51" s="289">
        <f t="shared" si="17"/>
        <v>15.857718591203785</v>
      </c>
      <c r="P51" s="290">
        <f t="shared" si="18"/>
        <v>0.9347730856842474</v>
      </c>
      <c r="Q51" s="290">
        <f t="shared" si="19"/>
        <v>0.8392325214648677</v>
      </c>
      <c r="R51" s="289">
        <f t="shared" si="20"/>
        <v>10.6989131009215</v>
      </c>
      <c r="S51" s="289">
        <f t="shared" si="21"/>
        <v>9.755683986230688</v>
      </c>
      <c r="T51" s="291">
        <f t="shared" si="22"/>
        <v>575.0733165253498</v>
      </c>
      <c r="U51" s="292">
        <f t="shared" si="23"/>
        <v>516.2966679784738</v>
      </c>
    </row>
    <row r="52" spans="1:21" s="298" customFormat="1" ht="13.5" customHeight="1">
      <c r="A52" s="773" t="s">
        <v>1126</v>
      </c>
      <c r="B52" s="776" t="s">
        <v>1264</v>
      </c>
      <c r="C52" s="277">
        <v>2014</v>
      </c>
      <c r="D52" s="332"/>
      <c r="E52" s="333"/>
      <c r="F52" s="334"/>
      <c r="G52" s="335"/>
      <c r="H52" s="335"/>
      <c r="I52" s="335"/>
      <c r="J52" s="335"/>
      <c r="K52" s="335"/>
      <c r="L52" s="335"/>
      <c r="M52" s="333"/>
      <c r="N52" s="336"/>
      <c r="O52" s="337"/>
      <c r="P52" s="338"/>
      <c r="Q52" s="338"/>
      <c r="R52" s="337"/>
      <c r="S52" s="337"/>
      <c r="T52" s="339"/>
      <c r="U52" s="340"/>
    </row>
    <row r="53" spans="1:21" s="298" customFormat="1" ht="13.5" customHeight="1">
      <c r="A53" s="774"/>
      <c r="B53" s="777"/>
      <c r="C53" s="287" t="s">
        <v>1118</v>
      </c>
      <c r="D53" s="543"/>
      <c r="E53" s="544"/>
      <c r="F53" s="545"/>
      <c r="G53" s="546"/>
      <c r="H53" s="546"/>
      <c r="I53" s="546"/>
      <c r="J53" s="546"/>
      <c r="K53" s="546"/>
      <c r="L53" s="546"/>
      <c r="M53" s="544"/>
      <c r="N53" s="547"/>
      <c r="O53" s="548"/>
      <c r="P53" s="549"/>
      <c r="Q53" s="549"/>
      <c r="R53" s="548"/>
      <c r="S53" s="548"/>
      <c r="T53" s="550"/>
      <c r="U53" s="551"/>
    </row>
    <row r="54" spans="1:21" s="298" customFormat="1" ht="13.5" customHeight="1">
      <c r="A54" s="774"/>
      <c r="B54" s="777"/>
      <c r="C54" s="287">
        <v>2012</v>
      </c>
      <c r="D54" s="299">
        <v>2297</v>
      </c>
      <c r="E54" s="300">
        <v>4491070</v>
      </c>
      <c r="F54" s="301">
        <v>2</v>
      </c>
      <c r="G54" s="302">
        <v>2</v>
      </c>
      <c r="H54" s="302"/>
      <c r="I54" s="302"/>
      <c r="J54" s="302"/>
      <c r="K54" s="302"/>
      <c r="L54" s="302">
        <v>70</v>
      </c>
      <c r="M54" s="300">
        <v>70</v>
      </c>
      <c r="N54" s="293">
        <f>F54*1000/D54</f>
        <v>0.87070091423596</v>
      </c>
      <c r="O54" s="294">
        <f>G54*1000/D54</f>
        <v>0.87070091423596</v>
      </c>
      <c r="P54" s="295">
        <f>L54/D54</f>
        <v>0.030474531998258596</v>
      </c>
      <c r="Q54" s="295">
        <f>M54/D54</f>
        <v>0.030474531998258596</v>
      </c>
      <c r="R54" s="294">
        <f>F54*1000000/E54</f>
        <v>0.44532817346423015</v>
      </c>
      <c r="S54" s="294">
        <f>G54*1000000/E54</f>
        <v>0.44532817346423015</v>
      </c>
      <c r="T54" s="296">
        <f>L54*1000000/E54</f>
        <v>15.586486071248055</v>
      </c>
      <c r="U54" s="297">
        <f>M54*1000000/E54</f>
        <v>15.586486071248055</v>
      </c>
    </row>
    <row r="55" spans="1:21" s="298" customFormat="1" ht="13.5" customHeight="1">
      <c r="A55" s="774"/>
      <c r="B55" s="777"/>
      <c r="C55" s="287" t="s">
        <v>1116</v>
      </c>
      <c r="D55" s="299">
        <v>2344</v>
      </c>
      <c r="E55" s="300">
        <v>4572365</v>
      </c>
      <c r="F55" s="301">
        <v>2</v>
      </c>
      <c r="G55" s="302">
        <v>2</v>
      </c>
      <c r="H55" s="302">
        <v>1</v>
      </c>
      <c r="I55" s="302">
        <v>1</v>
      </c>
      <c r="J55" s="302">
        <v>0</v>
      </c>
      <c r="K55" s="302">
        <v>0</v>
      </c>
      <c r="L55" s="302">
        <v>14</v>
      </c>
      <c r="M55" s="300">
        <v>14</v>
      </c>
      <c r="N55" s="293">
        <f>F55*1000/D55</f>
        <v>0.8532423208191127</v>
      </c>
      <c r="O55" s="294">
        <f>G55*1000/D55</f>
        <v>0.8532423208191127</v>
      </c>
      <c r="P55" s="295">
        <f>L55/D55</f>
        <v>0.005972696245733789</v>
      </c>
      <c r="Q55" s="295">
        <f>M55/D55</f>
        <v>0.005972696245733789</v>
      </c>
      <c r="R55" s="294">
        <f>F55*1000000/E55</f>
        <v>0.4374103992135361</v>
      </c>
      <c r="S55" s="294">
        <f>G55*1000000/E55</f>
        <v>0.4374103992135361</v>
      </c>
      <c r="T55" s="296">
        <f>L55*1000000/E55</f>
        <v>3.061872794494753</v>
      </c>
      <c r="U55" s="297">
        <f>M55*1000000/E55</f>
        <v>3.061872794494753</v>
      </c>
    </row>
    <row r="56" spans="1:21" s="298" customFormat="1" ht="13.5" customHeight="1">
      <c r="A56" s="774"/>
      <c r="B56" s="777"/>
      <c r="C56" s="287" t="s">
        <v>707</v>
      </c>
      <c r="D56" s="299">
        <v>2405</v>
      </c>
      <c r="E56" s="300">
        <v>4697697</v>
      </c>
      <c r="F56" s="301">
        <v>0</v>
      </c>
      <c r="G56" s="302">
        <v>0</v>
      </c>
      <c r="H56" s="302">
        <v>0</v>
      </c>
      <c r="I56" s="302">
        <v>0</v>
      </c>
      <c r="J56" s="302">
        <v>0</v>
      </c>
      <c r="K56" s="302">
        <v>0</v>
      </c>
      <c r="L56" s="302">
        <v>0</v>
      </c>
      <c r="M56" s="300">
        <v>0</v>
      </c>
      <c r="N56" s="341">
        <v>0</v>
      </c>
      <c r="O56" s="342">
        <v>0</v>
      </c>
      <c r="P56" s="343">
        <v>0</v>
      </c>
      <c r="Q56" s="343">
        <v>0</v>
      </c>
      <c r="R56" s="342">
        <v>0</v>
      </c>
      <c r="S56" s="342">
        <v>0</v>
      </c>
      <c r="T56" s="344">
        <v>0</v>
      </c>
      <c r="U56" s="345">
        <v>0</v>
      </c>
    </row>
    <row r="57" spans="1:21" s="298" customFormat="1" ht="13.5" customHeight="1">
      <c r="A57" s="774"/>
      <c r="B57" s="777"/>
      <c r="C57" s="287" t="s">
        <v>708</v>
      </c>
      <c r="D57" s="299">
        <v>2236</v>
      </c>
      <c r="E57" s="300">
        <v>4233095</v>
      </c>
      <c r="F57" s="301"/>
      <c r="G57" s="302"/>
      <c r="H57" s="302"/>
      <c r="I57" s="302"/>
      <c r="J57" s="302"/>
      <c r="K57" s="302"/>
      <c r="L57" s="302"/>
      <c r="M57" s="300"/>
      <c r="N57" s="341"/>
      <c r="O57" s="342"/>
      <c r="P57" s="343"/>
      <c r="Q57" s="343"/>
      <c r="R57" s="342"/>
      <c r="S57" s="342"/>
      <c r="T57" s="344"/>
      <c r="U57" s="345"/>
    </row>
    <row r="58" spans="1:21" s="298" customFormat="1" ht="13.5" customHeight="1">
      <c r="A58" s="774"/>
      <c r="B58" s="777"/>
      <c r="C58" s="287" t="s">
        <v>1260</v>
      </c>
      <c r="D58" s="299">
        <v>1509</v>
      </c>
      <c r="E58" s="300">
        <v>2948784</v>
      </c>
      <c r="F58" s="301">
        <v>2</v>
      </c>
      <c r="G58" s="302">
        <v>1</v>
      </c>
      <c r="H58" s="302">
        <v>0</v>
      </c>
      <c r="I58" s="302">
        <v>0</v>
      </c>
      <c r="J58" s="302">
        <v>0</v>
      </c>
      <c r="K58" s="302">
        <v>0</v>
      </c>
      <c r="L58" s="302">
        <v>164</v>
      </c>
      <c r="M58" s="300">
        <v>37</v>
      </c>
      <c r="N58" s="341">
        <f>F58*1000/D58</f>
        <v>1.3253810470510272</v>
      </c>
      <c r="O58" s="342">
        <f>G58*1000/D58</f>
        <v>0.6626905235255136</v>
      </c>
      <c r="P58" s="343">
        <f>L58/D58</f>
        <v>0.10868124585818423</v>
      </c>
      <c r="Q58" s="343">
        <f>M58/D58</f>
        <v>0.024519549370444003</v>
      </c>
      <c r="R58" s="342">
        <f>F58*1000000/E58</f>
        <v>0.6782456768620557</v>
      </c>
      <c r="S58" s="342">
        <f>G58*1000000/E58</f>
        <v>0.33912283843102786</v>
      </c>
      <c r="T58" s="344">
        <f>L58*1000000/E58</f>
        <v>55.61614550268857</v>
      </c>
      <c r="U58" s="345">
        <f>M58*1000000/E58</f>
        <v>12.54754502194803</v>
      </c>
    </row>
    <row r="59" spans="1:21" s="298" customFormat="1" ht="13.5" customHeight="1">
      <c r="A59" s="774"/>
      <c r="B59" s="777"/>
      <c r="C59" s="287" t="s">
        <v>1261</v>
      </c>
      <c r="D59" s="299">
        <v>1489</v>
      </c>
      <c r="E59" s="300">
        <v>2892151</v>
      </c>
      <c r="F59" s="301">
        <v>0</v>
      </c>
      <c r="G59" s="302">
        <v>0</v>
      </c>
      <c r="H59" s="302">
        <v>0</v>
      </c>
      <c r="I59" s="302">
        <v>0</v>
      </c>
      <c r="J59" s="302">
        <v>0</v>
      </c>
      <c r="K59" s="302">
        <v>0</v>
      </c>
      <c r="L59" s="302">
        <v>0</v>
      </c>
      <c r="M59" s="300">
        <v>0</v>
      </c>
      <c r="N59" s="341">
        <v>0</v>
      </c>
      <c r="O59" s="342">
        <v>0</v>
      </c>
      <c r="P59" s="343">
        <v>0</v>
      </c>
      <c r="Q59" s="343">
        <v>0</v>
      </c>
      <c r="R59" s="342">
        <v>0</v>
      </c>
      <c r="S59" s="342">
        <v>0</v>
      </c>
      <c r="T59" s="344">
        <v>0</v>
      </c>
      <c r="U59" s="345">
        <v>0</v>
      </c>
    </row>
    <row r="60" spans="1:21" s="298" customFormat="1" ht="13.5" customHeight="1">
      <c r="A60" s="774"/>
      <c r="B60" s="777"/>
      <c r="C60" s="346" t="s">
        <v>1262</v>
      </c>
      <c r="D60" s="299">
        <v>1530</v>
      </c>
      <c r="E60" s="300">
        <v>2981451</v>
      </c>
      <c r="F60" s="301">
        <v>0</v>
      </c>
      <c r="G60" s="302">
        <v>0</v>
      </c>
      <c r="H60" s="302">
        <v>0</v>
      </c>
      <c r="I60" s="302">
        <v>0</v>
      </c>
      <c r="J60" s="302">
        <v>0</v>
      </c>
      <c r="K60" s="302">
        <v>0</v>
      </c>
      <c r="L60" s="302">
        <v>0</v>
      </c>
      <c r="M60" s="300">
        <v>0</v>
      </c>
      <c r="N60" s="341">
        <v>0</v>
      </c>
      <c r="O60" s="342">
        <v>0</v>
      </c>
      <c r="P60" s="343">
        <v>0</v>
      </c>
      <c r="Q60" s="343">
        <v>0</v>
      </c>
      <c r="R60" s="342">
        <v>0</v>
      </c>
      <c r="S60" s="342">
        <v>0</v>
      </c>
      <c r="T60" s="344">
        <v>0</v>
      </c>
      <c r="U60" s="345">
        <v>0</v>
      </c>
    </row>
    <row r="61" spans="1:21" s="298" customFormat="1" ht="13.5" customHeight="1">
      <c r="A61" s="774"/>
      <c r="B61" s="777"/>
      <c r="C61" s="347">
        <v>2005</v>
      </c>
      <c r="D61" s="348">
        <v>695</v>
      </c>
      <c r="E61" s="349">
        <v>1279260</v>
      </c>
      <c r="F61" s="348">
        <v>0</v>
      </c>
      <c r="G61" s="350">
        <v>0</v>
      </c>
      <c r="H61" s="350">
        <v>0</v>
      </c>
      <c r="I61" s="350">
        <v>0</v>
      </c>
      <c r="J61" s="350">
        <v>0</v>
      </c>
      <c r="K61" s="350">
        <v>0</v>
      </c>
      <c r="L61" s="350">
        <v>0</v>
      </c>
      <c r="M61" s="349">
        <v>0</v>
      </c>
      <c r="N61" s="288">
        <v>0</v>
      </c>
      <c r="O61" s="289">
        <v>0</v>
      </c>
      <c r="P61" s="290">
        <v>0</v>
      </c>
      <c r="Q61" s="290">
        <v>0</v>
      </c>
      <c r="R61" s="289">
        <v>0</v>
      </c>
      <c r="S61" s="289">
        <v>0</v>
      </c>
      <c r="T61" s="291">
        <v>0</v>
      </c>
      <c r="U61" s="292">
        <v>0</v>
      </c>
    </row>
    <row r="62" spans="1:21" s="298" customFormat="1" ht="13.5" customHeight="1">
      <c r="A62" s="774"/>
      <c r="B62" s="777"/>
      <c r="C62" s="311">
        <v>2004</v>
      </c>
      <c r="D62" s="312">
        <v>930</v>
      </c>
      <c r="E62" s="313">
        <v>1742419</v>
      </c>
      <c r="F62" s="314">
        <v>0</v>
      </c>
      <c r="G62" s="315">
        <v>0</v>
      </c>
      <c r="H62" s="315">
        <v>0</v>
      </c>
      <c r="I62" s="315">
        <v>0</v>
      </c>
      <c r="J62" s="315">
        <v>0</v>
      </c>
      <c r="K62" s="315">
        <v>0</v>
      </c>
      <c r="L62" s="315">
        <v>0</v>
      </c>
      <c r="M62" s="316">
        <v>0</v>
      </c>
      <c r="N62" s="293">
        <f>F62*1000/D62</f>
        <v>0</v>
      </c>
      <c r="O62" s="294">
        <f>G62*1000/D62</f>
        <v>0</v>
      </c>
      <c r="P62" s="295">
        <f>L62/D62</f>
        <v>0</v>
      </c>
      <c r="Q62" s="295">
        <f>M62/D62</f>
        <v>0</v>
      </c>
      <c r="R62" s="294">
        <f>F62*1000000/E62</f>
        <v>0</v>
      </c>
      <c r="S62" s="294">
        <f>G62*1000000/E62</f>
        <v>0</v>
      </c>
      <c r="T62" s="296">
        <f>L62*1000000/E62</f>
        <v>0</v>
      </c>
      <c r="U62" s="297">
        <f>M62*1000000/E62</f>
        <v>0</v>
      </c>
    </row>
    <row r="63" spans="1:21" s="298" customFormat="1" ht="13.5" customHeight="1">
      <c r="A63" s="774"/>
      <c r="B63" s="777"/>
      <c r="C63" s="317">
        <v>2003</v>
      </c>
      <c r="D63" s="318">
        <v>1043</v>
      </c>
      <c r="E63" s="318">
        <v>1984408</v>
      </c>
      <c r="F63" s="319">
        <v>5</v>
      </c>
      <c r="G63" s="320">
        <v>4</v>
      </c>
      <c r="H63" s="320">
        <v>0</v>
      </c>
      <c r="I63" s="320">
        <v>0</v>
      </c>
      <c r="J63" s="320">
        <v>0</v>
      </c>
      <c r="K63" s="320">
        <v>0</v>
      </c>
      <c r="L63" s="318">
        <v>292</v>
      </c>
      <c r="M63" s="321">
        <v>232</v>
      </c>
      <c r="N63" s="293">
        <f>F63*1000/D63</f>
        <v>4.793863854266539</v>
      </c>
      <c r="O63" s="294">
        <f>G63*1000/D63</f>
        <v>3.8350910834132312</v>
      </c>
      <c r="P63" s="295">
        <f>L63/D63</f>
        <v>0.2799616490891659</v>
      </c>
      <c r="Q63" s="295">
        <f>M63/D63</f>
        <v>0.2224352828379674</v>
      </c>
      <c r="R63" s="294">
        <f>F63*1000000/E63</f>
        <v>2.5196431379030924</v>
      </c>
      <c r="S63" s="294">
        <f>G63*1000000/E63</f>
        <v>2.015714510322474</v>
      </c>
      <c r="T63" s="296">
        <f>L63*1000000/E63</f>
        <v>147.1471592535406</v>
      </c>
      <c r="U63" s="297">
        <f>M63*1000000/E63</f>
        <v>116.91144159870349</v>
      </c>
    </row>
    <row r="64" spans="1:21" s="298" customFormat="1" ht="13.5" customHeight="1">
      <c r="A64" s="774"/>
      <c r="B64" s="777"/>
      <c r="C64" s="217">
        <v>2002</v>
      </c>
      <c r="D64" s="322">
        <v>1200</v>
      </c>
      <c r="E64" s="351">
        <v>2163822</v>
      </c>
      <c r="F64" s="352">
        <v>4</v>
      </c>
      <c r="G64" s="353">
        <v>3</v>
      </c>
      <c r="H64" s="353">
        <v>0</v>
      </c>
      <c r="I64" s="353">
        <v>0</v>
      </c>
      <c r="J64" s="353">
        <v>0</v>
      </c>
      <c r="K64" s="351">
        <v>0</v>
      </c>
      <c r="L64" s="353">
        <v>353</v>
      </c>
      <c r="M64" s="354">
        <v>339</v>
      </c>
      <c r="N64" s="293">
        <f>F64*1000/D64</f>
        <v>3.3333333333333335</v>
      </c>
      <c r="O64" s="294">
        <f>G64*1000/D64</f>
        <v>2.5</v>
      </c>
      <c r="P64" s="295">
        <f>L64/D64</f>
        <v>0.2941666666666667</v>
      </c>
      <c r="Q64" s="295">
        <f>M64/D64</f>
        <v>0.2825</v>
      </c>
      <c r="R64" s="294">
        <f>F64*1000000/E64</f>
        <v>1.848580890664759</v>
      </c>
      <c r="S64" s="294">
        <f>G64*1000000/E64</f>
        <v>1.3864356679985692</v>
      </c>
      <c r="T64" s="296">
        <f>L64*1000000/E64</f>
        <v>163.137263601165</v>
      </c>
      <c r="U64" s="297">
        <f>M64*1000000/E64</f>
        <v>156.66723048383832</v>
      </c>
    </row>
    <row r="65" spans="1:21" s="298" customFormat="1" ht="13.5" customHeight="1">
      <c r="A65" s="774"/>
      <c r="B65" s="777"/>
      <c r="C65" s="317">
        <v>2001</v>
      </c>
      <c r="D65" s="325">
        <v>1173</v>
      </c>
      <c r="E65" s="323">
        <v>2068718</v>
      </c>
      <c r="F65" s="314">
        <v>7</v>
      </c>
      <c r="G65" s="315">
        <v>6</v>
      </c>
      <c r="H65" s="315">
        <v>0</v>
      </c>
      <c r="I65" s="315">
        <v>0</v>
      </c>
      <c r="J65" s="315">
        <v>0</v>
      </c>
      <c r="K65" s="315">
        <v>0</v>
      </c>
      <c r="L65" s="355">
        <v>414</v>
      </c>
      <c r="M65" s="316">
        <v>205</v>
      </c>
      <c r="N65" s="293">
        <f>F65*1000/D65</f>
        <v>5.967604433077579</v>
      </c>
      <c r="O65" s="294">
        <f>G65*1000/D65</f>
        <v>5.115089514066496</v>
      </c>
      <c r="P65" s="295">
        <f>L65/D65</f>
        <v>0.35294117647058826</v>
      </c>
      <c r="Q65" s="295">
        <f>M65/D65</f>
        <v>0.17476555839727195</v>
      </c>
      <c r="R65" s="294">
        <f>F65*1000000/E65</f>
        <v>3.383738141206293</v>
      </c>
      <c r="S65" s="294">
        <f>G65*1000000/E65</f>
        <v>2.9003469781768225</v>
      </c>
      <c r="T65" s="296">
        <f>L65*1000000/E65</f>
        <v>200.12394149420075</v>
      </c>
      <c r="U65" s="297">
        <f>M65*1000000/E65</f>
        <v>99.09518842104144</v>
      </c>
    </row>
    <row r="66" spans="1:21" s="298" customFormat="1" ht="13.5" customHeight="1" thickBot="1">
      <c r="A66" s="775"/>
      <c r="B66" s="778"/>
      <c r="C66" s="401">
        <v>2000</v>
      </c>
      <c r="D66" s="402">
        <v>1150</v>
      </c>
      <c r="E66" s="403">
        <v>2056198</v>
      </c>
      <c r="F66" s="404">
        <v>6</v>
      </c>
      <c r="G66" s="405">
        <v>5</v>
      </c>
      <c r="H66" s="405">
        <v>0</v>
      </c>
      <c r="I66" s="405">
        <v>0</v>
      </c>
      <c r="J66" s="405">
        <v>0</v>
      </c>
      <c r="K66" s="405">
        <v>0</v>
      </c>
      <c r="L66" s="405">
        <v>217</v>
      </c>
      <c r="M66" s="406">
        <v>207</v>
      </c>
      <c r="N66" s="407">
        <f>F66*1000/D66</f>
        <v>5.217391304347826</v>
      </c>
      <c r="O66" s="408">
        <f>G66*1000/D66</f>
        <v>4.3478260869565215</v>
      </c>
      <c r="P66" s="409">
        <f>L66/D66</f>
        <v>0.18869565217391304</v>
      </c>
      <c r="Q66" s="409">
        <f>M66/D66</f>
        <v>0.18</v>
      </c>
      <c r="R66" s="408">
        <f>F66*1000000/E66</f>
        <v>2.9180069234577606</v>
      </c>
      <c r="S66" s="408">
        <f>G66*1000000/E66</f>
        <v>2.4316724362148</v>
      </c>
      <c r="T66" s="410">
        <f>L66*1000000/E66</f>
        <v>105.53458373172234</v>
      </c>
      <c r="U66" s="411">
        <f>M66*1000000/E66</f>
        <v>100.67123885929273</v>
      </c>
    </row>
    <row r="67" spans="1:21" s="298" customFormat="1" ht="13.5" customHeight="1">
      <c r="A67" s="773" t="s">
        <v>2974</v>
      </c>
      <c r="B67" s="776" t="s">
        <v>1265</v>
      </c>
      <c r="C67" s="277">
        <v>2014</v>
      </c>
      <c r="D67" s="332"/>
      <c r="E67" s="333"/>
      <c r="F67" s="334">
        <v>105</v>
      </c>
      <c r="G67" s="335">
        <v>103</v>
      </c>
      <c r="H67" s="335">
        <v>3</v>
      </c>
      <c r="I67" s="335">
        <v>3</v>
      </c>
      <c r="J67" s="335"/>
      <c r="K67" s="335"/>
      <c r="L67" s="335">
        <v>3997</v>
      </c>
      <c r="M67" s="333">
        <v>3997</v>
      </c>
      <c r="N67" s="336"/>
      <c r="O67" s="337"/>
      <c r="P67" s="338"/>
      <c r="Q67" s="338"/>
      <c r="R67" s="337"/>
      <c r="S67" s="337"/>
      <c r="T67" s="339"/>
      <c r="U67" s="340"/>
    </row>
    <row r="68" spans="1:21" s="298" customFormat="1" ht="13.5" customHeight="1">
      <c r="A68" s="774"/>
      <c r="B68" s="777"/>
      <c r="C68" s="287" t="s">
        <v>1118</v>
      </c>
      <c r="D68" s="543"/>
      <c r="E68" s="544"/>
      <c r="F68" s="545">
        <v>96</v>
      </c>
      <c r="G68" s="546">
        <v>95</v>
      </c>
      <c r="H68" s="546"/>
      <c r="I68" s="546"/>
      <c r="J68" s="546"/>
      <c r="K68" s="546"/>
      <c r="L68" s="546">
        <v>4507</v>
      </c>
      <c r="M68" s="544">
        <v>4407</v>
      </c>
      <c r="N68" s="547"/>
      <c r="O68" s="548"/>
      <c r="P68" s="549"/>
      <c r="Q68" s="549"/>
      <c r="R68" s="548"/>
      <c r="S68" s="548"/>
      <c r="T68" s="550"/>
      <c r="U68" s="551"/>
    </row>
    <row r="69" spans="1:21" s="298" customFormat="1" ht="13.5" customHeight="1">
      <c r="A69" s="774"/>
      <c r="B69" s="777"/>
      <c r="C69" s="287">
        <v>2012</v>
      </c>
      <c r="D69" s="356">
        <v>7457</v>
      </c>
      <c r="E69" s="357">
        <v>13940861</v>
      </c>
      <c r="F69" s="358">
        <v>75</v>
      </c>
      <c r="G69" s="359">
        <v>72</v>
      </c>
      <c r="H69" s="359">
        <v>3</v>
      </c>
      <c r="I69" s="359">
        <v>3</v>
      </c>
      <c r="J69" s="359"/>
      <c r="K69" s="359"/>
      <c r="L69" s="359">
        <v>4594</v>
      </c>
      <c r="M69" s="357">
        <v>4146</v>
      </c>
      <c r="N69" s="293">
        <f>F69*1000/D69</f>
        <v>10.05766393992222</v>
      </c>
      <c r="O69" s="294">
        <f>G69*1000/D69</f>
        <v>9.655357382325333</v>
      </c>
      <c r="P69" s="295">
        <f>L69/D69</f>
        <v>0.6160654418667024</v>
      </c>
      <c r="Q69" s="295">
        <f>M69/D69</f>
        <v>0.5559876625989003</v>
      </c>
      <c r="R69" s="294">
        <f>F69*1000000/E69</f>
        <v>5.379868574831928</v>
      </c>
      <c r="S69" s="294">
        <f>G69*1000000/E69</f>
        <v>5.16467383183865</v>
      </c>
      <c r="T69" s="296">
        <f>L69*1000000/E69</f>
        <v>329.534883103705</v>
      </c>
      <c r="U69" s="297">
        <f>M69*1000000/E69</f>
        <v>297.39913481670897</v>
      </c>
    </row>
    <row r="70" spans="1:21" s="298" customFormat="1" ht="13.5" customHeight="1">
      <c r="A70" s="774"/>
      <c r="B70" s="777"/>
      <c r="C70" s="287" t="s">
        <v>1116</v>
      </c>
      <c r="D70" s="356">
        <v>7416</v>
      </c>
      <c r="E70" s="357">
        <v>13780267</v>
      </c>
      <c r="F70" s="358">
        <v>87</v>
      </c>
      <c r="G70" s="359">
        <v>83</v>
      </c>
      <c r="H70" s="359">
        <v>3</v>
      </c>
      <c r="I70" s="359">
        <v>3</v>
      </c>
      <c r="J70" s="359">
        <v>1</v>
      </c>
      <c r="K70" s="359">
        <v>1</v>
      </c>
      <c r="L70" s="359">
        <v>4277</v>
      </c>
      <c r="M70" s="357">
        <v>4196</v>
      </c>
      <c r="N70" s="293">
        <f>F70*1000/D70</f>
        <v>11.731391585760518</v>
      </c>
      <c r="O70" s="294">
        <f>G70*1000/D70</f>
        <v>11.192017259978424</v>
      </c>
      <c r="P70" s="295">
        <f>L70/D70</f>
        <v>0.5767259978425027</v>
      </c>
      <c r="Q70" s="295">
        <f>M70/D70</f>
        <v>0.5658036677454154</v>
      </c>
      <c r="R70" s="294">
        <f>F70*1000000/E70</f>
        <v>6.313375495554622</v>
      </c>
      <c r="S70" s="294">
        <f>G70*1000000/E70</f>
        <v>6.023105357827973</v>
      </c>
      <c r="T70" s="296">
        <f>L70*1000000/E70</f>
        <v>310.3713447642197</v>
      </c>
      <c r="U70" s="297">
        <f>M70*1000000/E70</f>
        <v>304.4933744752551</v>
      </c>
    </row>
    <row r="71" spans="1:21" s="298" customFormat="1" ht="13.5" customHeight="1">
      <c r="A71" s="774"/>
      <c r="B71" s="777"/>
      <c r="C71" s="287" t="s">
        <v>707</v>
      </c>
      <c r="D71" s="356">
        <v>7175</v>
      </c>
      <c r="E71" s="357">
        <v>13302056</v>
      </c>
      <c r="F71" s="358">
        <v>116</v>
      </c>
      <c r="G71" s="359">
        <v>114</v>
      </c>
      <c r="H71" s="359">
        <v>4</v>
      </c>
      <c r="I71" s="359">
        <v>4</v>
      </c>
      <c r="J71" s="359">
        <v>0</v>
      </c>
      <c r="K71" s="359">
        <v>0</v>
      </c>
      <c r="L71" s="359">
        <v>5448</v>
      </c>
      <c r="M71" s="357">
        <v>5169</v>
      </c>
      <c r="N71" s="293">
        <f>F71*1000/D71</f>
        <v>16.16724738675958</v>
      </c>
      <c r="O71" s="294">
        <f>G71*1000/D71</f>
        <v>15.888501742160278</v>
      </c>
      <c r="P71" s="295">
        <f>L71/D71</f>
        <v>0.7593031358885017</v>
      </c>
      <c r="Q71" s="295">
        <f>M71/D71</f>
        <v>0.720418118466899</v>
      </c>
      <c r="R71" s="294">
        <f>F71*1000000/E71</f>
        <v>8.720456446732745</v>
      </c>
      <c r="S71" s="294">
        <f>G71*1000000/E71</f>
        <v>8.570103749375285</v>
      </c>
      <c r="T71" s="296">
        <f>L71*1000000/E71</f>
        <v>409.56074760172413</v>
      </c>
      <c r="U71" s="297">
        <f>M71*1000000/E71</f>
        <v>388.5865463203583</v>
      </c>
    </row>
    <row r="72" spans="1:21" s="298" customFormat="1" ht="13.5" customHeight="1">
      <c r="A72" s="774"/>
      <c r="B72" s="777"/>
      <c r="C72" s="287" t="s">
        <v>708</v>
      </c>
      <c r="D72" s="356">
        <v>7038</v>
      </c>
      <c r="E72" s="357">
        <v>12932585</v>
      </c>
      <c r="F72" s="358">
        <v>114</v>
      </c>
      <c r="G72" s="359">
        <v>114</v>
      </c>
      <c r="H72" s="359">
        <v>2</v>
      </c>
      <c r="I72" s="359">
        <v>2</v>
      </c>
      <c r="J72" s="359">
        <v>2</v>
      </c>
      <c r="K72" s="359">
        <v>2</v>
      </c>
      <c r="L72" s="359">
        <v>4584</v>
      </c>
      <c r="M72" s="357">
        <v>4584</v>
      </c>
      <c r="N72" s="293">
        <f>F72*1000/D72</f>
        <v>16.19778346121057</v>
      </c>
      <c r="O72" s="294">
        <f>G72*1000/D72</f>
        <v>16.19778346121057</v>
      </c>
      <c r="P72" s="295">
        <f>L72/D72</f>
        <v>0.6513213981244672</v>
      </c>
      <c r="Q72" s="295">
        <f>M72/D72</f>
        <v>0.6513213981244672</v>
      </c>
      <c r="R72" s="294">
        <f>F72*1000000/E72</f>
        <v>8.814943029564468</v>
      </c>
      <c r="S72" s="294">
        <f>G72*1000000/E72</f>
        <v>8.814943029564468</v>
      </c>
      <c r="T72" s="296">
        <f>L72*1000000/E72</f>
        <v>354.45349866248705</v>
      </c>
      <c r="U72" s="297">
        <f>M72*1000000/E72</f>
        <v>354.45349866248705</v>
      </c>
    </row>
    <row r="73" spans="1:21" s="298" customFormat="1" ht="13.5" customHeight="1">
      <c r="A73" s="774"/>
      <c r="B73" s="777"/>
      <c r="C73" s="287" t="s">
        <v>1260</v>
      </c>
      <c r="D73" s="356">
        <v>7503</v>
      </c>
      <c r="E73" s="357">
        <v>13867789</v>
      </c>
      <c r="F73" s="358">
        <v>156</v>
      </c>
      <c r="G73" s="359">
        <v>155</v>
      </c>
      <c r="H73" s="359">
        <v>1</v>
      </c>
      <c r="I73" s="359">
        <v>1</v>
      </c>
      <c r="J73" s="359">
        <v>1</v>
      </c>
      <c r="K73" s="359">
        <v>1</v>
      </c>
      <c r="L73" s="359">
        <v>9160</v>
      </c>
      <c r="M73" s="357">
        <v>9119</v>
      </c>
      <c r="N73" s="293">
        <f aca="true" t="shared" si="24" ref="N73:N81">F73*1000/D73</f>
        <v>20.791683326669332</v>
      </c>
      <c r="O73" s="294">
        <f aca="true" t="shared" si="25" ref="O73:O81">G73*1000/D73</f>
        <v>20.658403305344528</v>
      </c>
      <c r="P73" s="295">
        <f aca="true" t="shared" si="26" ref="P73:P81">L73/D73</f>
        <v>1.2208449953351992</v>
      </c>
      <c r="Q73" s="295">
        <f aca="true" t="shared" si="27" ref="Q73:Q81">M73/D73</f>
        <v>1.2153805144608822</v>
      </c>
      <c r="R73" s="294">
        <f aca="true" t="shared" si="28" ref="R73:R81">F73*1000000/E73</f>
        <v>11.249089526816423</v>
      </c>
      <c r="S73" s="294">
        <f aca="true" t="shared" si="29" ref="S73:S81">G73*1000000/E73</f>
        <v>11.1769799785676</v>
      </c>
      <c r="T73" s="296">
        <f aca="true" t="shared" si="30" ref="T73:T81">L73*1000000/E73</f>
        <v>660.5234619592208</v>
      </c>
      <c r="U73" s="297">
        <f aca="true" t="shared" si="31" ref="U73:U81">M73*1000000/E73</f>
        <v>657.566970481019</v>
      </c>
    </row>
    <row r="74" spans="1:21" s="298" customFormat="1" ht="13.5" customHeight="1">
      <c r="A74" s="774"/>
      <c r="B74" s="777"/>
      <c r="C74" s="287" t="s">
        <v>1261</v>
      </c>
      <c r="D74" s="356">
        <v>7098</v>
      </c>
      <c r="E74" s="357">
        <v>13240417</v>
      </c>
      <c r="F74" s="358">
        <v>154</v>
      </c>
      <c r="G74" s="359">
        <v>153</v>
      </c>
      <c r="H74" s="359">
        <v>6</v>
      </c>
      <c r="I74" s="359">
        <v>6</v>
      </c>
      <c r="J74" s="359">
        <v>1</v>
      </c>
      <c r="K74" s="359">
        <v>1</v>
      </c>
      <c r="L74" s="359">
        <v>8076</v>
      </c>
      <c r="M74" s="357">
        <v>8069</v>
      </c>
      <c r="N74" s="293">
        <f t="shared" si="24"/>
        <v>21.696252465483234</v>
      </c>
      <c r="O74" s="294">
        <f t="shared" si="25"/>
        <v>21.55536770921386</v>
      </c>
      <c r="P74" s="295">
        <f t="shared" si="26"/>
        <v>1.1377852916314455</v>
      </c>
      <c r="Q74" s="295">
        <f t="shared" si="27"/>
        <v>1.1367990983375598</v>
      </c>
      <c r="R74" s="294">
        <f t="shared" si="28"/>
        <v>11.631053614096897</v>
      </c>
      <c r="S74" s="294">
        <f t="shared" si="29"/>
        <v>11.555527291927437</v>
      </c>
      <c r="T74" s="296">
        <f t="shared" si="30"/>
        <v>609.950577840562</v>
      </c>
      <c r="U74" s="297">
        <f t="shared" si="31"/>
        <v>609.4218935853758</v>
      </c>
    </row>
    <row r="75" spans="1:21" s="298" customFormat="1" ht="13.5" customHeight="1">
      <c r="A75" s="774"/>
      <c r="B75" s="777"/>
      <c r="C75" s="346" t="s">
        <v>1262</v>
      </c>
      <c r="D75" s="356">
        <v>6684</v>
      </c>
      <c r="E75" s="357">
        <v>12293195</v>
      </c>
      <c r="F75" s="358">
        <v>164</v>
      </c>
      <c r="G75" s="359">
        <v>155</v>
      </c>
      <c r="H75" s="359">
        <v>2</v>
      </c>
      <c r="I75" s="359">
        <v>2</v>
      </c>
      <c r="J75" s="359">
        <v>0</v>
      </c>
      <c r="K75" s="359">
        <v>0</v>
      </c>
      <c r="L75" s="359">
        <v>9095</v>
      </c>
      <c r="M75" s="357">
        <v>8659</v>
      </c>
      <c r="N75" s="293">
        <f t="shared" si="24"/>
        <v>24.536205864751647</v>
      </c>
      <c r="O75" s="294">
        <f t="shared" si="25"/>
        <v>23.189706762417714</v>
      </c>
      <c r="P75" s="295">
        <f t="shared" si="26"/>
        <v>1.3607121484141234</v>
      </c>
      <c r="Q75" s="295">
        <f t="shared" si="27"/>
        <v>1.2954817474566127</v>
      </c>
      <c r="R75" s="294">
        <f t="shared" si="28"/>
        <v>13.340714110530257</v>
      </c>
      <c r="S75" s="294">
        <f t="shared" si="29"/>
        <v>12.608601750806036</v>
      </c>
      <c r="T75" s="296">
        <f t="shared" si="30"/>
        <v>739.8402124101993</v>
      </c>
      <c r="U75" s="297">
        <f t="shared" si="31"/>
        <v>704.3734358724481</v>
      </c>
    </row>
    <row r="76" spans="1:21" s="298" customFormat="1" ht="13.5" customHeight="1">
      <c r="A76" s="774"/>
      <c r="B76" s="777"/>
      <c r="C76" s="347">
        <v>2005</v>
      </c>
      <c r="D76" s="348">
        <v>7009</v>
      </c>
      <c r="E76" s="349">
        <v>12783836</v>
      </c>
      <c r="F76" s="348">
        <v>199</v>
      </c>
      <c r="G76" s="350">
        <v>196</v>
      </c>
      <c r="H76" s="350">
        <v>2</v>
      </c>
      <c r="I76" s="350">
        <v>2</v>
      </c>
      <c r="J76" s="350">
        <v>0</v>
      </c>
      <c r="K76" s="350">
        <v>0</v>
      </c>
      <c r="L76" s="350">
        <v>8130</v>
      </c>
      <c r="M76" s="349">
        <v>7931</v>
      </c>
      <c r="N76" s="293">
        <f t="shared" si="24"/>
        <v>28.39206734198887</v>
      </c>
      <c r="O76" s="294">
        <f t="shared" si="25"/>
        <v>27.964046226280498</v>
      </c>
      <c r="P76" s="295">
        <f t="shared" si="26"/>
        <v>1.159937223569696</v>
      </c>
      <c r="Q76" s="295">
        <f t="shared" si="27"/>
        <v>1.1315451562277072</v>
      </c>
      <c r="R76" s="294">
        <f t="shared" si="28"/>
        <v>15.566532611964046</v>
      </c>
      <c r="S76" s="294">
        <f t="shared" si="29"/>
        <v>15.33186126605504</v>
      </c>
      <c r="T76" s="296">
        <f t="shared" si="30"/>
        <v>635.9593474134055</v>
      </c>
      <c r="U76" s="297">
        <f t="shared" si="31"/>
        <v>620.3928148014414</v>
      </c>
    </row>
    <row r="77" spans="1:21" s="298" customFormat="1" ht="13.5" customHeight="1">
      <c r="A77" s="774"/>
      <c r="B77" s="777"/>
      <c r="C77" s="311">
        <v>2004</v>
      </c>
      <c r="D77" s="312">
        <v>6257</v>
      </c>
      <c r="E77" s="313">
        <v>11587933</v>
      </c>
      <c r="F77" s="314">
        <v>124</v>
      </c>
      <c r="G77" s="315">
        <v>121</v>
      </c>
      <c r="H77" s="315">
        <v>1</v>
      </c>
      <c r="I77" s="315">
        <v>1</v>
      </c>
      <c r="J77" s="315">
        <v>0</v>
      </c>
      <c r="K77" s="315">
        <v>0</v>
      </c>
      <c r="L77" s="315">
        <v>5345</v>
      </c>
      <c r="M77" s="316">
        <v>5030</v>
      </c>
      <c r="N77" s="293">
        <f t="shared" si="24"/>
        <v>19.81780405945341</v>
      </c>
      <c r="O77" s="294">
        <f t="shared" si="25"/>
        <v>19.338341058015022</v>
      </c>
      <c r="P77" s="295">
        <f t="shared" si="26"/>
        <v>0.8542432475627297</v>
      </c>
      <c r="Q77" s="295">
        <f t="shared" si="27"/>
        <v>0.8038996324116989</v>
      </c>
      <c r="R77" s="294">
        <f t="shared" si="28"/>
        <v>10.700786758087055</v>
      </c>
      <c r="S77" s="294">
        <f t="shared" si="29"/>
        <v>10.441896755875272</v>
      </c>
      <c r="T77" s="296">
        <f t="shared" si="30"/>
        <v>461.2556872739944</v>
      </c>
      <c r="U77" s="297">
        <f t="shared" si="31"/>
        <v>434.07223704175715</v>
      </c>
    </row>
    <row r="78" spans="1:21" s="298" customFormat="1" ht="13.5" customHeight="1">
      <c r="A78" s="774"/>
      <c r="B78" s="777"/>
      <c r="C78" s="317">
        <v>2003</v>
      </c>
      <c r="D78" s="360">
        <v>6493</v>
      </c>
      <c r="E78" s="351">
        <v>12147688</v>
      </c>
      <c r="F78" s="352">
        <v>229</v>
      </c>
      <c r="G78" s="353">
        <v>220</v>
      </c>
      <c r="H78" s="353">
        <v>4</v>
      </c>
      <c r="I78" s="353">
        <v>4</v>
      </c>
      <c r="J78" s="353">
        <v>1</v>
      </c>
      <c r="K78" s="353">
        <v>1</v>
      </c>
      <c r="L78" s="353">
        <v>9333</v>
      </c>
      <c r="M78" s="354">
        <v>8872</v>
      </c>
      <c r="N78" s="293">
        <f t="shared" si="24"/>
        <v>35.26875096257508</v>
      </c>
      <c r="O78" s="294">
        <f t="shared" si="25"/>
        <v>33.882642846142</v>
      </c>
      <c r="P78" s="295">
        <f t="shared" si="26"/>
        <v>1.4373941167411057</v>
      </c>
      <c r="Q78" s="295">
        <f t="shared" si="27"/>
        <v>1.3663945787771445</v>
      </c>
      <c r="R78" s="294">
        <f t="shared" si="28"/>
        <v>18.851323807460318</v>
      </c>
      <c r="S78" s="294">
        <f t="shared" si="29"/>
        <v>18.110442085769737</v>
      </c>
      <c r="T78" s="296">
        <f t="shared" si="30"/>
        <v>768.2943453931316</v>
      </c>
      <c r="U78" s="297">
        <f t="shared" si="31"/>
        <v>730.3447372043141</v>
      </c>
    </row>
    <row r="79" spans="1:21" s="298" customFormat="1" ht="13.5" customHeight="1">
      <c r="A79" s="774"/>
      <c r="B79" s="777"/>
      <c r="C79" s="217">
        <v>2002</v>
      </c>
      <c r="D79" s="322">
        <v>7589</v>
      </c>
      <c r="E79" s="323">
        <v>12444507</v>
      </c>
      <c r="F79" s="314">
        <v>257</v>
      </c>
      <c r="G79" s="315">
        <v>252</v>
      </c>
      <c r="H79" s="315">
        <v>2</v>
      </c>
      <c r="I79" s="315">
        <v>2</v>
      </c>
      <c r="J79" s="315">
        <v>2</v>
      </c>
      <c r="K79" s="315">
        <v>2</v>
      </c>
      <c r="L79" s="315">
        <v>9275</v>
      </c>
      <c r="M79" s="316">
        <v>9144</v>
      </c>
      <c r="N79" s="293">
        <f t="shared" si="24"/>
        <v>33.86480432204507</v>
      </c>
      <c r="O79" s="294">
        <f t="shared" si="25"/>
        <v>33.20595598893135</v>
      </c>
      <c r="P79" s="295">
        <f t="shared" si="26"/>
        <v>1.2221636579259454</v>
      </c>
      <c r="Q79" s="295">
        <f t="shared" si="27"/>
        <v>1.204901831598366</v>
      </c>
      <c r="R79" s="294">
        <f t="shared" si="28"/>
        <v>20.65168190270615</v>
      </c>
      <c r="S79" s="294">
        <f t="shared" si="29"/>
        <v>20.249898208100973</v>
      </c>
      <c r="T79" s="296">
        <f t="shared" si="30"/>
        <v>745.3087534926052</v>
      </c>
      <c r="U79" s="297">
        <f t="shared" si="31"/>
        <v>734.7820206939496</v>
      </c>
    </row>
    <row r="80" spans="1:21" s="298" customFormat="1" ht="13.5" customHeight="1">
      <c r="A80" s="774"/>
      <c r="B80" s="777"/>
      <c r="C80" s="317">
        <v>2001</v>
      </c>
      <c r="D80" s="325">
        <v>8899</v>
      </c>
      <c r="E80" s="323">
        <v>14669065</v>
      </c>
      <c r="F80" s="314">
        <v>247</v>
      </c>
      <c r="G80" s="315">
        <v>235</v>
      </c>
      <c r="H80" s="315">
        <v>2</v>
      </c>
      <c r="I80" s="315">
        <v>2</v>
      </c>
      <c r="J80" s="315">
        <v>1</v>
      </c>
      <c r="K80" s="315">
        <v>1</v>
      </c>
      <c r="L80" s="315">
        <v>11183</v>
      </c>
      <c r="M80" s="316">
        <v>10438</v>
      </c>
      <c r="N80" s="293">
        <f t="shared" si="24"/>
        <v>27.755927632318237</v>
      </c>
      <c r="O80" s="294">
        <f t="shared" si="25"/>
        <v>26.407461512529498</v>
      </c>
      <c r="P80" s="295">
        <f t="shared" si="26"/>
        <v>1.256658051466457</v>
      </c>
      <c r="Q80" s="295">
        <f t="shared" si="27"/>
        <v>1.172940779862906</v>
      </c>
      <c r="R80" s="294">
        <f t="shared" si="28"/>
        <v>16.838155669771727</v>
      </c>
      <c r="S80" s="294">
        <f t="shared" si="29"/>
        <v>16.020107621037877</v>
      </c>
      <c r="T80" s="296">
        <f t="shared" si="30"/>
        <v>762.3526107492195</v>
      </c>
      <c r="U80" s="297">
        <f t="shared" si="31"/>
        <v>711.5654610569931</v>
      </c>
    </row>
    <row r="81" spans="1:21" s="298" customFormat="1" ht="13.5" customHeight="1" thickBot="1">
      <c r="A81" s="775"/>
      <c r="B81" s="778"/>
      <c r="C81" s="326">
        <v>2000</v>
      </c>
      <c r="D81" s="327">
        <v>9202</v>
      </c>
      <c r="E81" s="328">
        <v>14544581</v>
      </c>
      <c r="F81" s="329">
        <v>249</v>
      </c>
      <c r="G81" s="330">
        <v>237</v>
      </c>
      <c r="H81" s="330">
        <v>4</v>
      </c>
      <c r="I81" s="330">
        <v>4</v>
      </c>
      <c r="J81" s="330">
        <v>4</v>
      </c>
      <c r="K81" s="330">
        <v>3</v>
      </c>
      <c r="L81" s="330">
        <v>9986</v>
      </c>
      <c r="M81" s="331">
        <v>9536</v>
      </c>
      <c r="N81" s="288">
        <f t="shared" si="24"/>
        <v>27.05933492718974</v>
      </c>
      <c r="O81" s="289">
        <f t="shared" si="25"/>
        <v>25.755270593349273</v>
      </c>
      <c r="P81" s="290">
        <f t="shared" si="26"/>
        <v>1.0851988698109107</v>
      </c>
      <c r="Q81" s="290">
        <f t="shared" si="27"/>
        <v>1.0362964572918931</v>
      </c>
      <c r="R81" s="289">
        <f t="shared" si="28"/>
        <v>17.119778149676502</v>
      </c>
      <c r="S81" s="289">
        <f t="shared" si="29"/>
        <v>16.2947286002945</v>
      </c>
      <c r="T81" s="291">
        <f t="shared" si="30"/>
        <v>686.5787333440544</v>
      </c>
      <c r="U81" s="292">
        <f t="shared" si="31"/>
        <v>655.6393752422293</v>
      </c>
    </row>
    <row r="82" spans="1:21" s="298" customFormat="1" ht="13.5" customHeight="1">
      <c r="A82" s="780" t="s">
        <v>2976</v>
      </c>
      <c r="B82" s="776" t="s">
        <v>1266</v>
      </c>
      <c r="C82" s="557" t="s">
        <v>1119</v>
      </c>
      <c r="D82" s="278"/>
      <c r="E82" s="281"/>
      <c r="F82" s="280">
        <v>5</v>
      </c>
      <c r="G82" s="280">
        <v>5</v>
      </c>
      <c r="H82" s="335"/>
      <c r="I82" s="335"/>
      <c r="J82" s="335"/>
      <c r="K82" s="335"/>
      <c r="L82" s="335">
        <v>192</v>
      </c>
      <c r="M82" s="281">
        <v>192</v>
      </c>
      <c r="N82" s="336"/>
      <c r="O82" s="337"/>
      <c r="P82" s="338"/>
      <c r="Q82" s="338"/>
      <c r="R82" s="337"/>
      <c r="S82" s="337"/>
      <c r="T82" s="339"/>
      <c r="U82" s="340"/>
    </row>
    <row r="83" spans="1:21" s="298" customFormat="1" ht="13.5" customHeight="1">
      <c r="A83" s="781"/>
      <c r="B83" s="777"/>
      <c r="C83" s="556" t="s">
        <v>1118</v>
      </c>
      <c r="D83" s="552"/>
      <c r="E83" s="553"/>
      <c r="F83" s="554">
        <v>8</v>
      </c>
      <c r="G83" s="554">
        <v>8</v>
      </c>
      <c r="H83" s="555">
        <v>1</v>
      </c>
      <c r="I83" s="555">
        <v>1</v>
      </c>
      <c r="J83" s="555">
        <v>1</v>
      </c>
      <c r="K83" s="555">
        <v>1</v>
      </c>
      <c r="L83" s="555">
        <v>301</v>
      </c>
      <c r="M83" s="553">
        <v>301</v>
      </c>
      <c r="N83" s="547"/>
      <c r="O83" s="548"/>
      <c r="P83" s="549"/>
      <c r="Q83" s="549"/>
      <c r="R83" s="548"/>
      <c r="S83" s="548"/>
      <c r="T83" s="550"/>
      <c r="U83" s="551"/>
    </row>
    <row r="84" spans="1:21" s="298" customFormat="1" ht="13.5" customHeight="1">
      <c r="A84" s="781"/>
      <c r="B84" s="777"/>
      <c r="C84" s="287" t="s">
        <v>1117</v>
      </c>
      <c r="D84" s="303">
        <v>5452</v>
      </c>
      <c r="E84" s="304">
        <v>9454486</v>
      </c>
      <c r="F84" s="305">
        <v>16</v>
      </c>
      <c r="G84" s="306">
        <v>14</v>
      </c>
      <c r="H84" s="306"/>
      <c r="I84" s="306"/>
      <c r="J84" s="306"/>
      <c r="K84" s="306"/>
      <c r="L84" s="306">
        <v>1953</v>
      </c>
      <c r="M84" s="304">
        <v>1581</v>
      </c>
      <c r="N84" s="293">
        <f>F84*1000/D84</f>
        <v>2.93470286133529</v>
      </c>
      <c r="O84" s="294">
        <f>G84*1000/D84</f>
        <v>2.5678650036683788</v>
      </c>
      <c r="P84" s="295">
        <f>L84/D84</f>
        <v>0.3582171680117388</v>
      </c>
      <c r="Q84" s="295">
        <f>M84/D84</f>
        <v>0.2899853264856933</v>
      </c>
      <c r="R84" s="294">
        <f>F84*1000000/E84</f>
        <v>1.692318334386449</v>
      </c>
      <c r="S84" s="294">
        <f>G84*1000000/E84</f>
        <v>1.4807785425881428</v>
      </c>
      <c r="T84" s="296">
        <f>L84*1000000/E84</f>
        <v>206.56860669104591</v>
      </c>
      <c r="U84" s="297">
        <f>M84*1000000/E84</f>
        <v>167.222205416561</v>
      </c>
    </row>
    <row r="85" spans="1:21" s="298" customFormat="1" ht="13.5" customHeight="1">
      <c r="A85" s="781"/>
      <c r="B85" s="777"/>
      <c r="C85" s="287" t="s">
        <v>1116</v>
      </c>
      <c r="D85" s="303">
        <v>5245</v>
      </c>
      <c r="E85" s="304">
        <v>9101291</v>
      </c>
      <c r="F85" s="305">
        <v>8</v>
      </c>
      <c r="G85" s="306">
        <v>8</v>
      </c>
      <c r="H85" s="306">
        <v>1</v>
      </c>
      <c r="I85" s="306">
        <v>1</v>
      </c>
      <c r="J85" s="306">
        <v>0</v>
      </c>
      <c r="K85" s="306">
        <v>0</v>
      </c>
      <c r="L85" s="306">
        <v>853</v>
      </c>
      <c r="M85" s="304">
        <v>853</v>
      </c>
      <c r="N85" s="293">
        <f>F85*1000/D85</f>
        <v>1.5252621544327931</v>
      </c>
      <c r="O85" s="294">
        <f>G85*1000/D85</f>
        <v>1.5252621544327931</v>
      </c>
      <c r="P85" s="295">
        <f>L85/D85</f>
        <v>0.16263107721639658</v>
      </c>
      <c r="Q85" s="295">
        <f>M85/D85</f>
        <v>0.16263107721639658</v>
      </c>
      <c r="R85" s="294">
        <f>F85*1000000/E85</f>
        <v>0.8789961775752473</v>
      </c>
      <c r="S85" s="294">
        <f>G85*1000000/E85</f>
        <v>0.8789961775752473</v>
      </c>
      <c r="T85" s="296">
        <f>L85*1000000/E85</f>
        <v>93.72296743396075</v>
      </c>
      <c r="U85" s="297">
        <f>M85*1000000/E85</f>
        <v>93.72296743396075</v>
      </c>
    </row>
    <row r="86" spans="1:21" s="298" customFormat="1" ht="13.5" customHeight="1">
      <c r="A86" s="781"/>
      <c r="B86" s="777"/>
      <c r="C86" s="287" t="s">
        <v>707</v>
      </c>
      <c r="D86" s="303">
        <v>5089</v>
      </c>
      <c r="E86" s="304">
        <v>8743307</v>
      </c>
      <c r="F86" s="305">
        <v>4</v>
      </c>
      <c r="G86" s="306">
        <v>4</v>
      </c>
      <c r="H86" s="306">
        <v>0</v>
      </c>
      <c r="I86" s="306">
        <v>0</v>
      </c>
      <c r="J86" s="306">
        <v>1</v>
      </c>
      <c r="K86" s="306">
        <v>1</v>
      </c>
      <c r="L86" s="306">
        <v>73</v>
      </c>
      <c r="M86" s="304">
        <v>73</v>
      </c>
      <c r="N86" s="293">
        <f>F86*1000/D86</f>
        <v>0.7860090391039497</v>
      </c>
      <c r="O86" s="294">
        <f>G86*1000/D86</f>
        <v>0.7860090391039497</v>
      </c>
      <c r="P86" s="295">
        <f>L86/D86</f>
        <v>0.014344664963647082</v>
      </c>
      <c r="Q86" s="295">
        <f>M86/D86</f>
        <v>0.014344664963647082</v>
      </c>
      <c r="R86" s="294">
        <f>F86*1000000/E86</f>
        <v>0.45749279992112823</v>
      </c>
      <c r="S86" s="294">
        <f>G86*1000000/E86</f>
        <v>0.45749279992112823</v>
      </c>
      <c r="T86" s="296">
        <f>L86*1000000/E86</f>
        <v>8.34924359856059</v>
      </c>
      <c r="U86" s="297">
        <f>M86*1000000/E86</f>
        <v>8.34924359856059</v>
      </c>
    </row>
    <row r="87" spans="1:21" s="298" customFormat="1" ht="13.5" customHeight="1">
      <c r="A87" s="774"/>
      <c r="B87" s="777"/>
      <c r="C87" s="287" t="s">
        <v>708</v>
      </c>
      <c r="D87" s="303">
        <v>10000</v>
      </c>
      <c r="E87" s="304">
        <v>18227305</v>
      </c>
      <c r="F87" s="305">
        <v>10</v>
      </c>
      <c r="G87" s="306">
        <v>10</v>
      </c>
      <c r="H87" s="306">
        <v>1</v>
      </c>
      <c r="I87" s="306">
        <v>1</v>
      </c>
      <c r="J87" s="306">
        <v>0</v>
      </c>
      <c r="K87" s="306">
        <v>0</v>
      </c>
      <c r="L87" s="306">
        <v>1172</v>
      </c>
      <c r="M87" s="304">
        <v>1172</v>
      </c>
      <c r="N87" s="293">
        <f>F87*1000/D87</f>
        <v>1</v>
      </c>
      <c r="O87" s="294">
        <f>G87*1000/D87</f>
        <v>1</v>
      </c>
      <c r="P87" s="295">
        <f>L87/D87</f>
        <v>0.1172</v>
      </c>
      <c r="Q87" s="295">
        <f>M87/D87</f>
        <v>0.1172</v>
      </c>
      <c r="R87" s="294">
        <f>F87*1000000/E87</f>
        <v>0.5486274575424068</v>
      </c>
      <c r="S87" s="294">
        <f>G87*1000000/E87</f>
        <v>0.5486274575424068</v>
      </c>
      <c r="T87" s="296">
        <f>L87*1000000/E87</f>
        <v>64.29913802397009</v>
      </c>
      <c r="U87" s="297">
        <f>M87*1000000/E87</f>
        <v>64.29913802397009</v>
      </c>
    </row>
    <row r="88" spans="1:21" s="298" customFormat="1" ht="13.5" customHeight="1">
      <c r="A88" s="774"/>
      <c r="B88" s="777"/>
      <c r="C88" s="287" t="s">
        <v>1260</v>
      </c>
      <c r="D88" s="303">
        <v>11782</v>
      </c>
      <c r="E88" s="304">
        <v>22390406</v>
      </c>
      <c r="F88" s="305">
        <v>19</v>
      </c>
      <c r="G88" s="306">
        <v>18</v>
      </c>
      <c r="H88" s="306">
        <v>2</v>
      </c>
      <c r="I88" s="306">
        <v>2</v>
      </c>
      <c r="J88" s="306">
        <v>2</v>
      </c>
      <c r="K88" s="306">
        <v>2</v>
      </c>
      <c r="L88" s="306">
        <v>1444</v>
      </c>
      <c r="M88" s="304">
        <v>1360</v>
      </c>
      <c r="N88" s="293">
        <f aca="true" t="shared" si="32" ref="N88:N98">F88*1000/D88</f>
        <v>1.6126294347309456</v>
      </c>
      <c r="O88" s="294">
        <f aca="true" t="shared" si="33" ref="O88:O98">G88*1000/D88</f>
        <v>1.5277542013240537</v>
      </c>
      <c r="P88" s="295">
        <f aca="true" t="shared" si="34" ref="P88:P98">L88/D88</f>
        <v>0.12255983703955185</v>
      </c>
      <c r="Q88" s="295">
        <f aca="true" t="shared" si="35" ref="Q88:Q98">M88/D88</f>
        <v>0.11543031743337294</v>
      </c>
      <c r="R88" s="294">
        <f aca="true" t="shared" si="36" ref="R88:R98">F88*1000000/E88</f>
        <v>0.8485777345886448</v>
      </c>
      <c r="S88" s="294">
        <f aca="true" t="shared" si="37" ref="S88:S98">G88*1000000/E88</f>
        <v>0.8039157485576635</v>
      </c>
      <c r="T88" s="296">
        <f aca="true" t="shared" si="38" ref="T88:T98">L88*1000000/E88</f>
        <v>64.491907828737</v>
      </c>
      <c r="U88" s="297">
        <f aca="true" t="shared" si="39" ref="U88:U98">M88*1000000/E88</f>
        <v>60.74030100213457</v>
      </c>
    </row>
    <row r="89" spans="1:21" s="298" customFormat="1" ht="13.5" customHeight="1">
      <c r="A89" s="774"/>
      <c r="B89" s="777"/>
      <c r="C89" s="287" t="s">
        <v>1261</v>
      </c>
      <c r="D89" s="303">
        <v>10900</v>
      </c>
      <c r="E89" s="304">
        <v>20686801</v>
      </c>
      <c r="F89" s="305">
        <v>32</v>
      </c>
      <c r="G89" s="306">
        <v>29</v>
      </c>
      <c r="H89" s="306">
        <v>1</v>
      </c>
      <c r="I89" s="306">
        <v>1</v>
      </c>
      <c r="J89" s="306">
        <v>2</v>
      </c>
      <c r="K89" s="306">
        <v>2</v>
      </c>
      <c r="L89" s="306">
        <v>2310</v>
      </c>
      <c r="M89" s="304">
        <v>2139</v>
      </c>
      <c r="N89" s="293">
        <f t="shared" si="32"/>
        <v>2.9357798165137616</v>
      </c>
      <c r="O89" s="294">
        <f t="shared" si="33"/>
        <v>2.6605504587155964</v>
      </c>
      <c r="P89" s="295">
        <f t="shared" si="34"/>
        <v>0.21192660550458717</v>
      </c>
      <c r="Q89" s="295">
        <f t="shared" si="35"/>
        <v>0.19623853211009173</v>
      </c>
      <c r="R89" s="294">
        <f t="shared" si="36"/>
        <v>1.5468800613492633</v>
      </c>
      <c r="S89" s="294">
        <f t="shared" si="37"/>
        <v>1.4018600555977698</v>
      </c>
      <c r="T89" s="296">
        <f t="shared" si="38"/>
        <v>111.66540442864994</v>
      </c>
      <c r="U89" s="297">
        <f t="shared" si="39"/>
        <v>103.39926410081482</v>
      </c>
    </row>
    <row r="90" spans="1:21" s="298" customFormat="1" ht="13.5" customHeight="1">
      <c r="A90" s="774"/>
      <c r="B90" s="777"/>
      <c r="C90" s="346" t="s">
        <v>1262</v>
      </c>
      <c r="D90" s="299">
        <v>10498</v>
      </c>
      <c r="E90" s="300">
        <v>19877515</v>
      </c>
      <c r="F90" s="301">
        <v>27</v>
      </c>
      <c r="G90" s="302">
        <v>22</v>
      </c>
      <c r="H90" s="302">
        <v>3</v>
      </c>
      <c r="I90" s="302">
        <v>2</v>
      </c>
      <c r="J90" s="302">
        <v>2</v>
      </c>
      <c r="K90" s="302">
        <v>2</v>
      </c>
      <c r="L90" s="302">
        <v>1747</v>
      </c>
      <c r="M90" s="300">
        <v>1535</v>
      </c>
      <c r="N90" s="293">
        <f t="shared" si="32"/>
        <v>2.571918460659173</v>
      </c>
      <c r="O90" s="294">
        <f t="shared" si="33"/>
        <v>2.095637264240808</v>
      </c>
      <c r="P90" s="295">
        <f t="shared" si="34"/>
        <v>0.16641265002857686</v>
      </c>
      <c r="Q90" s="295">
        <f t="shared" si="35"/>
        <v>0.14621832730043818</v>
      </c>
      <c r="R90" s="294">
        <f t="shared" si="36"/>
        <v>1.3583186831955605</v>
      </c>
      <c r="S90" s="294">
        <f t="shared" si="37"/>
        <v>1.1067781863074937</v>
      </c>
      <c r="T90" s="296">
        <f t="shared" si="38"/>
        <v>87.88824961269052</v>
      </c>
      <c r="U90" s="297">
        <f t="shared" si="39"/>
        <v>77.22293254463649</v>
      </c>
    </row>
    <row r="91" spans="1:21" s="298" customFormat="1" ht="13.5" customHeight="1">
      <c r="A91" s="774"/>
      <c r="B91" s="777"/>
      <c r="C91" s="347">
        <v>2005</v>
      </c>
      <c r="D91" s="348">
        <v>6180</v>
      </c>
      <c r="E91" s="349">
        <v>11480949</v>
      </c>
      <c r="F91" s="348">
        <v>28</v>
      </c>
      <c r="G91" s="350">
        <v>27</v>
      </c>
      <c r="H91" s="350">
        <v>0</v>
      </c>
      <c r="I91" s="350">
        <v>0</v>
      </c>
      <c r="J91" s="350">
        <v>1</v>
      </c>
      <c r="K91" s="350">
        <v>1</v>
      </c>
      <c r="L91" s="350">
        <v>2241</v>
      </c>
      <c r="M91" s="349">
        <v>2195</v>
      </c>
      <c r="N91" s="293">
        <f t="shared" si="32"/>
        <v>4.53074433656958</v>
      </c>
      <c r="O91" s="294">
        <f t="shared" si="33"/>
        <v>4.368932038834951</v>
      </c>
      <c r="P91" s="295">
        <f t="shared" si="34"/>
        <v>0.36262135922330097</v>
      </c>
      <c r="Q91" s="295">
        <f t="shared" si="35"/>
        <v>0.3551779935275081</v>
      </c>
      <c r="R91" s="294">
        <f t="shared" si="36"/>
        <v>2.438822783726328</v>
      </c>
      <c r="S91" s="294">
        <f t="shared" si="37"/>
        <v>2.351721970021816</v>
      </c>
      <c r="T91" s="296">
        <f t="shared" si="38"/>
        <v>195.19292351181073</v>
      </c>
      <c r="U91" s="297">
        <f t="shared" si="39"/>
        <v>191.1862860814032</v>
      </c>
    </row>
    <row r="92" spans="1:21" s="298" customFormat="1" ht="13.5" customHeight="1">
      <c r="A92" s="774"/>
      <c r="B92" s="777"/>
      <c r="C92" s="361">
        <v>2004</v>
      </c>
      <c r="D92" s="312">
        <v>5947</v>
      </c>
      <c r="E92" s="313">
        <v>11018352</v>
      </c>
      <c r="F92" s="314">
        <v>18</v>
      </c>
      <c r="G92" s="315">
        <v>17</v>
      </c>
      <c r="H92" s="315">
        <v>2</v>
      </c>
      <c r="I92" s="315">
        <v>2</v>
      </c>
      <c r="J92" s="315">
        <v>0</v>
      </c>
      <c r="K92" s="315">
        <v>0</v>
      </c>
      <c r="L92" s="315">
        <v>989</v>
      </c>
      <c r="M92" s="316">
        <v>964</v>
      </c>
      <c r="N92" s="293">
        <f t="shared" si="32"/>
        <v>3.0267361694972257</v>
      </c>
      <c r="O92" s="294">
        <f t="shared" si="33"/>
        <v>2.858584160080713</v>
      </c>
      <c r="P92" s="295">
        <f t="shared" si="34"/>
        <v>0.1663023373129309</v>
      </c>
      <c r="Q92" s="295">
        <f t="shared" si="35"/>
        <v>0.1620985370775181</v>
      </c>
      <c r="R92" s="294">
        <f t="shared" si="36"/>
        <v>1.6336381339060506</v>
      </c>
      <c r="S92" s="294">
        <f t="shared" si="37"/>
        <v>1.5428804598001589</v>
      </c>
      <c r="T92" s="296">
        <f t="shared" si="38"/>
        <v>89.75933969072689</v>
      </c>
      <c r="U92" s="297">
        <f t="shared" si="39"/>
        <v>87.4903978380796</v>
      </c>
    </row>
    <row r="93" spans="1:21" s="298" customFormat="1" ht="13.5" customHeight="1">
      <c r="A93" s="774"/>
      <c r="B93" s="777"/>
      <c r="C93" s="317">
        <v>2003</v>
      </c>
      <c r="D93" s="360">
        <v>6183</v>
      </c>
      <c r="E93" s="351">
        <v>11497200</v>
      </c>
      <c r="F93" s="352">
        <v>33</v>
      </c>
      <c r="G93" s="353">
        <v>31</v>
      </c>
      <c r="H93" s="353">
        <v>1</v>
      </c>
      <c r="I93" s="353">
        <v>1</v>
      </c>
      <c r="J93" s="353">
        <v>1</v>
      </c>
      <c r="K93" s="353">
        <v>1</v>
      </c>
      <c r="L93" s="353">
        <v>2731</v>
      </c>
      <c r="M93" s="354">
        <v>2548</v>
      </c>
      <c r="N93" s="293">
        <f t="shared" si="32"/>
        <v>5.337214944201844</v>
      </c>
      <c r="O93" s="294">
        <f t="shared" si="33"/>
        <v>5.013747371825975</v>
      </c>
      <c r="P93" s="295">
        <f t="shared" si="34"/>
        <v>0.44169497007924957</v>
      </c>
      <c r="Q93" s="295">
        <f t="shared" si="35"/>
        <v>0.4120976872068575</v>
      </c>
      <c r="R93" s="294">
        <f t="shared" si="36"/>
        <v>2.8702640642939152</v>
      </c>
      <c r="S93" s="294">
        <f t="shared" si="37"/>
        <v>2.69630866645792</v>
      </c>
      <c r="T93" s="296">
        <f t="shared" si="38"/>
        <v>237.53609574505097</v>
      </c>
      <c r="U93" s="297">
        <f t="shared" si="39"/>
        <v>221.61917684305743</v>
      </c>
    </row>
    <row r="94" spans="1:21" s="298" customFormat="1" ht="13.5" customHeight="1">
      <c r="A94" s="774"/>
      <c r="B94" s="777"/>
      <c r="C94" s="217">
        <v>2002</v>
      </c>
      <c r="D94" s="362">
        <v>6576</v>
      </c>
      <c r="E94" s="363">
        <v>11197721</v>
      </c>
      <c r="F94" s="364">
        <v>42</v>
      </c>
      <c r="G94" s="365">
        <v>41</v>
      </c>
      <c r="H94" s="365">
        <v>1</v>
      </c>
      <c r="I94" s="365">
        <v>1</v>
      </c>
      <c r="J94" s="365">
        <v>2</v>
      </c>
      <c r="K94" s="363">
        <v>2</v>
      </c>
      <c r="L94" s="365">
        <v>2874</v>
      </c>
      <c r="M94" s="366">
        <v>2873</v>
      </c>
      <c r="N94" s="293">
        <f t="shared" si="32"/>
        <v>6.386861313868613</v>
      </c>
      <c r="O94" s="294">
        <f t="shared" si="33"/>
        <v>6.234793187347932</v>
      </c>
      <c r="P94" s="295">
        <f t="shared" si="34"/>
        <v>0.43704379562043794</v>
      </c>
      <c r="Q94" s="295">
        <f t="shared" si="35"/>
        <v>0.43689172749391725</v>
      </c>
      <c r="R94" s="294">
        <f t="shared" si="36"/>
        <v>3.750763213335999</v>
      </c>
      <c r="S94" s="294">
        <f t="shared" si="37"/>
        <v>3.6614593273041898</v>
      </c>
      <c r="T94" s="296">
        <f t="shared" si="38"/>
        <v>256.6593684554205</v>
      </c>
      <c r="U94" s="297">
        <f t="shared" si="39"/>
        <v>256.5700645693887</v>
      </c>
    </row>
    <row r="95" spans="1:21" s="298" customFormat="1" ht="13.5" customHeight="1">
      <c r="A95" s="774"/>
      <c r="B95" s="777"/>
      <c r="C95" s="317">
        <v>2001</v>
      </c>
      <c r="D95" s="325">
        <v>6430</v>
      </c>
      <c r="E95" s="323">
        <v>11090690</v>
      </c>
      <c r="F95" s="314">
        <v>52</v>
      </c>
      <c r="G95" s="315">
        <v>49</v>
      </c>
      <c r="H95" s="315">
        <v>0</v>
      </c>
      <c r="I95" s="315">
        <v>0</v>
      </c>
      <c r="J95" s="315">
        <v>1</v>
      </c>
      <c r="K95" s="315">
        <v>0</v>
      </c>
      <c r="L95" s="315">
        <v>2178</v>
      </c>
      <c r="M95" s="316">
        <v>2062</v>
      </c>
      <c r="N95" s="293">
        <f t="shared" si="32"/>
        <v>8.087091757387247</v>
      </c>
      <c r="O95" s="294">
        <f t="shared" si="33"/>
        <v>7.620528771384137</v>
      </c>
      <c r="P95" s="295">
        <f t="shared" si="34"/>
        <v>0.3387247278382582</v>
      </c>
      <c r="Q95" s="295">
        <f t="shared" si="35"/>
        <v>0.3206842923794712</v>
      </c>
      <c r="R95" s="294">
        <f t="shared" si="36"/>
        <v>4.688617209569467</v>
      </c>
      <c r="S95" s="294">
        <f t="shared" si="37"/>
        <v>4.418120062863537</v>
      </c>
      <c r="T95" s="296">
        <f t="shared" si="38"/>
        <v>196.38092850850578</v>
      </c>
      <c r="U95" s="297">
        <f t="shared" si="39"/>
        <v>185.92170550254312</v>
      </c>
    </row>
    <row r="96" spans="1:21" s="298" customFormat="1" ht="13.5" customHeight="1" thickBot="1">
      <c r="A96" s="775"/>
      <c r="B96" s="779"/>
      <c r="C96" s="326">
        <v>2000</v>
      </c>
      <c r="D96" s="327">
        <v>6958</v>
      </c>
      <c r="E96" s="328">
        <v>12350900</v>
      </c>
      <c r="F96" s="329">
        <v>61</v>
      </c>
      <c r="G96" s="330">
        <v>55</v>
      </c>
      <c r="H96" s="330">
        <v>5</v>
      </c>
      <c r="I96" s="330">
        <v>3</v>
      </c>
      <c r="J96" s="330">
        <v>0</v>
      </c>
      <c r="K96" s="330">
        <v>0</v>
      </c>
      <c r="L96" s="330">
        <v>1641</v>
      </c>
      <c r="M96" s="331">
        <v>1483</v>
      </c>
      <c r="N96" s="288">
        <f t="shared" si="32"/>
        <v>8.766887036504743</v>
      </c>
      <c r="O96" s="289">
        <f t="shared" si="33"/>
        <v>7.9045702788157515</v>
      </c>
      <c r="P96" s="290">
        <f t="shared" si="34"/>
        <v>0.23584363322793905</v>
      </c>
      <c r="Q96" s="290">
        <f t="shared" si="35"/>
        <v>0.21313595860879564</v>
      </c>
      <c r="R96" s="289">
        <f t="shared" si="36"/>
        <v>4.938911334396684</v>
      </c>
      <c r="S96" s="289">
        <f t="shared" si="37"/>
        <v>4.453116776915043</v>
      </c>
      <c r="T96" s="291">
        <f t="shared" si="38"/>
        <v>132.86481147122882</v>
      </c>
      <c r="U96" s="292">
        <f t="shared" si="39"/>
        <v>120.07222145754561</v>
      </c>
    </row>
    <row r="97" spans="1:21" s="298" customFormat="1" ht="13.5" customHeight="1">
      <c r="A97" s="773" t="s">
        <v>1267</v>
      </c>
      <c r="B97" s="782" t="s">
        <v>1268</v>
      </c>
      <c r="C97" s="287" t="s">
        <v>1117</v>
      </c>
      <c r="D97" s="278">
        <v>197</v>
      </c>
      <c r="E97" s="281">
        <v>317257</v>
      </c>
      <c r="F97" s="280"/>
      <c r="G97" s="280"/>
      <c r="H97" s="335"/>
      <c r="I97" s="335"/>
      <c r="J97" s="335"/>
      <c r="K97" s="335"/>
      <c r="L97" s="335"/>
      <c r="M97" s="281"/>
      <c r="N97" s="336"/>
      <c r="O97" s="337"/>
      <c r="P97" s="338"/>
      <c r="Q97" s="338"/>
      <c r="R97" s="337"/>
      <c r="S97" s="337"/>
      <c r="T97" s="339"/>
      <c r="U97" s="340"/>
    </row>
    <row r="98" spans="1:21" s="298" customFormat="1" ht="13.5" customHeight="1">
      <c r="A98" s="774"/>
      <c r="B98" s="783"/>
      <c r="C98" s="517" t="s">
        <v>1116</v>
      </c>
      <c r="D98" s="518">
        <v>182</v>
      </c>
      <c r="E98" s="359">
        <v>300569</v>
      </c>
      <c r="F98" s="518">
        <v>1</v>
      </c>
      <c r="G98" s="518">
        <v>1</v>
      </c>
      <c r="H98" s="302">
        <v>0</v>
      </c>
      <c r="I98" s="302">
        <v>0</v>
      </c>
      <c r="J98" s="302">
        <v>0</v>
      </c>
      <c r="K98" s="302">
        <v>0</v>
      </c>
      <c r="L98" s="302">
        <v>93</v>
      </c>
      <c r="M98" s="359">
        <v>93</v>
      </c>
      <c r="N98" s="342">
        <f t="shared" si="32"/>
        <v>5.4945054945054945</v>
      </c>
      <c r="O98" s="342">
        <f t="shared" si="33"/>
        <v>5.4945054945054945</v>
      </c>
      <c r="P98" s="343">
        <f t="shared" si="34"/>
        <v>0.510989010989011</v>
      </c>
      <c r="Q98" s="343">
        <f t="shared" si="35"/>
        <v>0.510989010989011</v>
      </c>
      <c r="R98" s="342">
        <f t="shared" si="36"/>
        <v>3.327023079559103</v>
      </c>
      <c r="S98" s="342">
        <f t="shared" si="37"/>
        <v>3.327023079559103</v>
      </c>
      <c r="T98" s="344">
        <f t="shared" si="38"/>
        <v>309.41314639899656</v>
      </c>
      <c r="U98" s="297">
        <f t="shared" si="39"/>
        <v>309.41314639899656</v>
      </c>
    </row>
    <row r="99" spans="1:21" s="298" customFormat="1" ht="13.5" customHeight="1">
      <c r="A99" s="774"/>
      <c r="B99" s="777"/>
      <c r="C99" s="287" t="s">
        <v>707</v>
      </c>
      <c r="D99" s="356">
        <v>156</v>
      </c>
      <c r="E99" s="357">
        <v>249425</v>
      </c>
      <c r="F99" s="358">
        <v>0</v>
      </c>
      <c r="G99" s="359">
        <v>0</v>
      </c>
      <c r="H99" s="359">
        <v>0</v>
      </c>
      <c r="I99" s="359">
        <v>0</v>
      </c>
      <c r="J99" s="359">
        <v>0</v>
      </c>
      <c r="K99" s="359">
        <v>0</v>
      </c>
      <c r="L99" s="359">
        <v>0</v>
      </c>
      <c r="M99" s="357">
        <v>0</v>
      </c>
      <c r="N99" s="341"/>
      <c r="O99" s="342"/>
      <c r="P99" s="343"/>
      <c r="Q99" s="343"/>
      <c r="R99" s="342"/>
      <c r="S99" s="342"/>
      <c r="T99" s="344"/>
      <c r="U99" s="345"/>
    </row>
    <row r="100" spans="1:21" s="298" customFormat="1" ht="13.5" customHeight="1">
      <c r="A100" s="774"/>
      <c r="B100" s="777"/>
      <c r="C100" s="287" t="s">
        <v>708</v>
      </c>
      <c r="D100" s="356">
        <v>167</v>
      </c>
      <c r="E100" s="357">
        <v>265565</v>
      </c>
      <c r="F100" s="358"/>
      <c r="G100" s="359"/>
      <c r="H100" s="359"/>
      <c r="I100" s="359"/>
      <c r="J100" s="359"/>
      <c r="K100" s="359"/>
      <c r="L100" s="359"/>
      <c r="M100" s="357"/>
      <c r="N100" s="341"/>
      <c r="O100" s="342"/>
      <c r="P100" s="343"/>
      <c r="Q100" s="343"/>
      <c r="R100" s="342"/>
      <c r="S100" s="342"/>
      <c r="T100" s="344"/>
      <c r="U100" s="345"/>
    </row>
    <row r="101" spans="1:21" s="298" customFormat="1" ht="13.5" customHeight="1">
      <c r="A101" s="774"/>
      <c r="B101" s="777"/>
      <c r="C101" s="287" t="s">
        <v>1260</v>
      </c>
      <c r="D101" s="356">
        <v>254</v>
      </c>
      <c r="E101" s="357">
        <v>467728</v>
      </c>
      <c r="F101" s="358">
        <v>0</v>
      </c>
      <c r="G101" s="359">
        <v>0</v>
      </c>
      <c r="H101" s="359">
        <v>0</v>
      </c>
      <c r="I101" s="359">
        <v>0</v>
      </c>
      <c r="J101" s="359">
        <v>0</v>
      </c>
      <c r="K101" s="359">
        <v>0</v>
      </c>
      <c r="L101" s="359">
        <v>0</v>
      </c>
      <c r="M101" s="357">
        <v>0</v>
      </c>
      <c r="N101" s="341"/>
      <c r="O101" s="342"/>
      <c r="P101" s="343"/>
      <c r="Q101" s="343"/>
      <c r="R101" s="342"/>
      <c r="S101" s="342"/>
      <c r="T101" s="344"/>
      <c r="U101" s="345"/>
    </row>
    <row r="102" spans="1:21" s="298" customFormat="1" ht="13.5" customHeight="1">
      <c r="A102" s="774"/>
      <c r="B102" s="777"/>
      <c r="C102" s="287" t="s">
        <v>1261</v>
      </c>
      <c r="D102" s="356">
        <v>130</v>
      </c>
      <c r="E102" s="357">
        <v>245694</v>
      </c>
      <c r="F102" s="358">
        <v>0</v>
      </c>
      <c r="G102" s="359">
        <v>0</v>
      </c>
      <c r="H102" s="359">
        <v>0</v>
      </c>
      <c r="I102" s="359">
        <v>0</v>
      </c>
      <c r="J102" s="359">
        <v>0</v>
      </c>
      <c r="K102" s="359">
        <v>0</v>
      </c>
      <c r="L102" s="359">
        <v>0</v>
      </c>
      <c r="M102" s="357">
        <v>0</v>
      </c>
      <c r="N102" s="341"/>
      <c r="O102" s="342"/>
      <c r="P102" s="343"/>
      <c r="Q102" s="343"/>
      <c r="R102" s="342"/>
      <c r="S102" s="342"/>
      <c r="T102" s="344"/>
      <c r="U102" s="345"/>
    </row>
    <row r="103" spans="1:21" s="298" customFormat="1" ht="13.5" customHeight="1" thickBot="1">
      <c r="A103" s="775"/>
      <c r="B103" s="778"/>
      <c r="C103" s="367" t="s">
        <v>1262</v>
      </c>
      <c r="D103" s="368">
        <v>134</v>
      </c>
      <c r="E103" s="369">
        <v>258845</v>
      </c>
      <c r="F103" s="370">
        <v>1</v>
      </c>
      <c r="G103" s="371">
        <v>1</v>
      </c>
      <c r="H103" s="371">
        <v>1</v>
      </c>
      <c r="I103" s="371">
        <v>1</v>
      </c>
      <c r="J103" s="371">
        <v>0</v>
      </c>
      <c r="K103" s="371">
        <v>0</v>
      </c>
      <c r="L103" s="371">
        <v>0</v>
      </c>
      <c r="M103" s="369">
        <v>0</v>
      </c>
      <c r="N103" s="372">
        <f>F103*1000/D103</f>
        <v>7.462686567164179</v>
      </c>
      <c r="O103" s="373">
        <f>G103*1000/D103</f>
        <v>7.462686567164179</v>
      </c>
      <c r="P103" s="374">
        <f>L103/D103</f>
        <v>0</v>
      </c>
      <c r="Q103" s="374">
        <f>M103/D103</f>
        <v>0</v>
      </c>
      <c r="R103" s="373">
        <f>F103*1000000/E103</f>
        <v>3.8633158840232573</v>
      </c>
      <c r="S103" s="373">
        <f>G103*1000000/E103</f>
        <v>3.8633158840232573</v>
      </c>
      <c r="T103" s="375">
        <f>L103*1000000/E103</f>
        <v>0</v>
      </c>
      <c r="U103" s="376">
        <f>M103*1000000/E103</f>
        <v>0</v>
      </c>
    </row>
    <row r="104" ht="12.75" customHeight="1">
      <c r="D104" s="379"/>
    </row>
    <row r="105" ht="12.75" customHeight="1">
      <c r="D105" s="379"/>
    </row>
    <row r="106" spans="1:5" ht="12.75" customHeight="1">
      <c r="A106" s="387"/>
      <c r="C106" s="380"/>
      <c r="D106" s="379"/>
      <c r="E106" s="379"/>
    </row>
    <row r="107" spans="1:5" ht="12.75" customHeight="1">
      <c r="A107" s="387"/>
      <c r="C107" s="380"/>
      <c r="D107" s="379"/>
      <c r="E107" s="379"/>
    </row>
    <row r="108" spans="1:5" ht="12.75" customHeight="1">
      <c r="A108" s="387"/>
      <c r="C108" s="380"/>
      <c r="D108" s="379"/>
      <c r="E108" s="379"/>
    </row>
    <row r="109" spans="1:5" ht="12.75" customHeight="1">
      <c r="A109" s="387"/>
      <c r="C109" s="380"/>
      <c r="D109" s="379"/>
      <c r="E109" s="379"/>
    </row>
    <row r="110" spans="1:4" ht="12.75" customHeight="1">
      <c r="A110" s="387"/>
      <c r="C110" s="380"/>
      <c r="D110" s="379"/>
    </row>
    <row r="111" spans="1:4" ht="12.75" customHeight="1">
      <c r="A111" s="387"/>
      <c r="C111" s="380"/>
      <c r="D111" s="379"/>
    </row>
    <row r="112" spans="1:4" ht="12.75" customHeight="1">
      <c r="A112" s="387"/>
      <c r="C112" s="380"/>
      <c r="D112" s="379"/>
    </row>
    <row r="113" spans="1:4" ht="12.75" customHeight="1">
      <c r="A113" s="387"/>
      <c r="C113" s="380"/>
      <c r="D113" s="379"/>
    </row>
    <row r="114" ht="12.75" customHeight="1">
      <c r="D114" s="379"/>
    </row>
    <row r="115" spans="4:5" ht="12.75" customHeight="1">
      <c r="D115" s="379"/>
      <c r="E115" s="380">
        <f>D42</f>
        <v>18447</v>
      </c>
    </row>
    <row r="116" ht="12.75" customHeight="1">
      <c r="D116" s="379"/>
    </row>
    <row r="117" ht="12.75" customHeight="1">
      <c r="D117" s="379"/>
    </row>
    <row r="118" ht="12.75" customHeight="1">
      <c r="D118" s="379"/>
    </row>
    <row r="119" ht="12.75" customHeight="1">
      <c r="D119" s="379"/>
    </row>
    <row r="120" ht="12.75" customHeight="1">
      <c r="D120" s="379"/>
    </row>
    <row r="121" ht="12.75" customHeight="1">
      <c r="D121" s="379"/>
    </row>
    <row r="122" ht="12.75" customHeight="1">
      <c r="D122" s="379"/>
    </row>
    <row r="123" ht="12.75" customHeight="1">
      <c r="D123" s="379"/>
    </row>
    <row r="124" ht="12.75" customHeight="1">
      <c r="D124" s="379"/>
    </row>
    <row r="125" ht="12.75" customHeight="1">
      <c r="D125" s="379"/>
    </row>
    <row r="126" ht="12.75" customHeight="1">
      <c r="D126" s="379"/>
    </row>
    <row r="127" ht="12.75" customHeight="1">
      <c r="D127" s="379"/>
    </row>
    <row r="128" ht="12.75" customHeight="1">
      <c r="D128" s="379"/>
    </row>
    <row r="129" ht="12.75" customHeight="1">
      <c r="D129" s="379"/>
    </row>
    <row r="130" ht="12.75" customHeight="1">
      <c r="D130" s="379"/>
    </row>
    <row r="131" ht="12.75" customHeight="1">
      <c r="D131" s="379"/>
    </row>
    <row r="132" ht="12.75" customHeight="1">
      <c r="D132" s="379"/>
    </row>
    <row r="133" ht="12.75" customHeight="1">
      <c r="D133" s="379"/>
    </row>
    <row r="134" ht="12.75" customHeight="1">
      <c r="D134" s="379"/>
    </row>
    <row r="135" ht="12.75" customHeight="1">
      <c r="D135" s="379"/>
    </row>
    <row r="136" ht="12.75" customHeight="1">
      <c r="D136" s="379"/>
    </row>
    <row r="137" ht="12.75" customHeight="1">
      <c r="D137" s="379"/>
    </row>
    <row r="138" ht="12.75" customHeight="1">
      <c r="D138" s="379"/>
    </row>
    <row r="139" ht="12.75" customHeight="1">
      <c r="D139" s="379"/>
    </row>
    <row r="140" ht="12.75" customHeight="1">
      <c r="D140" s="379"/>
    </row>
    <row r="141" ht="12.75" customHeight="1">
      <c r="D141" s="379"/>
    </row>
    <row r="142" ht="12.75" customHeight="1">
      <c r="D142" s="379"/>
    </row>
    <row r="143" ht="12.75" customHeight="1">
      <c r="D143" s="379"/>
    </row>
    <row r="144" ht="12.75" customHeight="1">
      <c r="D144" s="379"/>
    </row>
    <row r="145" ht="12.75" customHeight="1">
      <c r="D145" s="379"/>
    </row>
    <row r="146" ht="12.75" customHeight="1">
      <c r="D146" s="379"/>
    </row>
    <row r="147" ht="12.75" customHeight="1">
      <c r="D147" s="379"/>
    </row>
    <row r="148" ht="12.75" customHeight="1">
      <c r="D148" s="379"/>
    </row>
    <row r="149" ht="12.75" customHeight="1">
      <c r="D149" s="379"/>
    </row>
    <row r="150" ht="12.75" customHeight="1">
      <c r="D150" s="379"/>
    </row>
    <row r="151" ht="12.75" customHeight="1">
      <c r="D151" s="379"/>
    </row>
    <row r="152" ht="12.75" customHeight="1">
      <c r="D152" s="379"/>
    </row>
    <row r="153" ht="12.75" customHeight="1">
      <c r="D153" s="379"/>
    </row>
    <row r="154" ht="12.75" customHeight="1">
      <c r="D154" s="379"/>
    </row>
    <row r="155" ht="12.75" customHeight="1">
      <c r="D155" s="379"/>
    </row>
    <row r="156" ht="12.75" customHeight="1">
      <c r="D156" s="379"/>
    </row>
    <row r="157" ht="12.75" customHeight="1">
      <c r="D157" s="379"/>
    </row>
    <row r="158" ht="12.75" customHeight="1">
      <c r="D158" s="379"/>
    </row>
    <row r="159" ht="12.75" customHeight="1">
      <c r="D159" s="379"/>
    </row>
    <row r="160" ht="12.75" customHeight="1">
      <c r="D160" s="379"/>
    </row>
    <row r="161" ht="12.75" customHeight="1">
      <c r="D161" s="379"/>
    </row>
    <row r="162" ht="12.75" customHeight="1">
      <c r="D162" s="379"/>
    </row>
    <row r="163" ht="12.75" customHeight="1">
      <c r="D163" s="379"/>
    </row>
    <row r="164" ht="12.75" customHeight="1">
      <c r="D164" s="379"/>
    </row>
    <row r="165" ht="12.75" customHeight="1">
      <c r="D165" s="379"/>
    </row>
    <row r="166" ht="12.75" customHeight="1">
      <c r="D166" s="379"/>
    </row>
    <row r="167" ht="12.75" customHeight="1">
      <c r="D167" s="379"/>
    </row>
    <row r="168" ht="12.75" customHeight="1">
      <c r="D168" s="379"/>
    </row>
    <row r="169" ht="12.75" customHeight="1">
      <c r="D169" s="379"/>
    </row>
    <row r="170" ht="12.75" customHeight="1">
      <c r="D170" s="379"/>
    </row>
    <row r="171" ht="12.75" customHeight="1">
      <c r="D171" s="379"/>
    </row>
    <row r="172" ht="12.75" customHeight="1">
      <c r="D172" s="379"/>
    </row>
    <row r="173" ht="12.75" customHeight="1">
      <c r="D173" s="379"/>
    </row>
    <row r="174" ht="12.75" customHeight="1">
      <c r="D174" s="379"/>
    </row>
    <row r="175" ht="12.75" customHeight="1">
      <c r="D175" s="379"/>
    </row>
    <row r="176" ht="12.75" customHeight="1">
      <c r="D176" s="379"/>
    </row>
    <row r="177" ht="12.75" customHeight="1">
      <c r="D177" s="379"/>
    </row>
    <row r="178" ht="12.75" customHeight="1">
      <c r="D178" s="379"/>
    </row>
    <row r="179" ht="12.75" customHeight="1">
      <c r="D179" s="379"/>
    </row>
    <row r="180" ht="12.75" customHeight="1">
      <c r="D180" s="379"/>
    </row>
    <row r="181" ht="12.75" customHeight="1">
      <c r="D181" s="379"/>
    </row>
    <row r="182" ht="12.75" customHeight="1">
      <c r="D182" s="379"/>
    </row>
    <row r="183" ht="12.75" customHeight="1">
      <c r="D183" s="379"/>
    </row>
    <row r="184" ht="12.75" customHeight="1">
      <c r="D184" s="379"/>
    </row>
    <row r="185" ht="12.75" customHeight="1">
      <c r="D185" s="379"/>
    </row>
    <row r="186" ht="12.75" customHeight="1">
      <c r="D186" s="379"/>
    </row>
    <row r="187" ht="12.75" customHeight="1">
      <c r="D187" s="379"/>
    </row>
    <row r="188" ht="12.75" customHeight="1">
      <c r="D188" s="379"/>
    </row>
    <row r="189" ht="12.75" customHeight="1">
      <c r="D189" s="379"/>
    </row>
    <row r="190" ht="12.75" customHeight="1">
      <c r="D190" s="379"/>
    </row>
    <row r="191" ht="12.75" customHeight="1">
      <c r="D191" s="379"/>
    </row>
    <row r="192" ht="12.75" customHeight="1">
      <c r="D192" s="379"/>
    </row>
    <row r="193" ht="12.75" customHeight="1">
      <c r="D193" s="379"/>
    </row>
    <row r="194" ht="12.75" customHeight="1">
      <c r="D194" s="379"/>
    </row>
    <row r="195" ht="12.75" customHeight="1">
      <c r="D195" s="379"/>
    </row>
    <row r="196" ht="12.75" customHeight="1">
      <c r="D196" s="379"/>
    </row>
    <row r="197" ht="12.75" customHeight="1">
      <c r="D197" s="379"/>
    </row>
    <row r="198" ht="12.75" customHeight="1">
      <c r="D198" s="379"/>
    </row>
    <row r="199" ht="12.75" customHeight="1">
      <c r="D199" s="379"/>
    </row>
    <row r="200" ht="12.75" customHeight="1">
      <c r="D200" s="379"/>
    </row>
    <row r="201" ht="12.75" customHeight="1">
      <c r="D201" s="379"/>
    </row>
    <row r="202" ht="12.75" customHeight="1">
      <c r="D202" s="379"/>
    </row>
    <row r="203" ht="12.75" customHeight="1">
      <c r="D203" s="379"/>
    </row>
    <row r="204" ht="12.75" customHeight="1">
      <c r="D204" s="379"/>
    </row>
    <row r="205" ht="12.75" customHeight="1">
      <c r="D205" s="379"/>
    </row>
    <row r="206" ht="12.75" customHeight="1">
      <c r="D206" s="379"/>
    </row>
    <row r="207" ht="12.75" customHeight="1">
      <c r="D207" s="379"/>
    </row>
    <row r="208" ht="12.75" customHeight="1">
      <c r="D208" s="379"/>
    </row>
    <row r="209" ht="12.75" customHeight="1">
      <c r="D209" s="379"/>
    </row>
    <row r="210" ht="12.75" customHeight="1">
      <c r="D210" s="379"/>
    </row>
    <row r="211" ht="12.75" customHeight="1">
      <c r="D211" s="379"/>
    </row>
    <row r="212" ht="12.75" customHeight="1">
      <c r="D212" s="379"/>
    </row>
    <row r="213" ht="12.75" customHeight="1">
      <c r="D213" s="379"/>
    </row>
    <row r="214" ht="12.75" customHeight="1">
      <c r="D214" s="379"/>
    </row>
    <row r="215" ht="12.75" customHeight="1">
      <c r="D215" s="379"/>
    </row>
    <row r="216" ht="12.75" customHeight="1">
      <c r="D216" s="379"/>
    </row>
    <row r="217" ht="12.75" customHeight="1">
      <c r="D217" s="379"/>
    </row>
    <row r="218" ht="12.75" customHeight="1">
      <c r="D218" s="379"/>
    </row>
    <row r="219" ht="12.75" customHeight="1">
      <c r="D219" s="379"/>
    </row>
    <row r="220" ht="12.75" customHeight="1">
      <c r="D220" s="379"/>
    </row>
    <row r="221" ht="12.75" customHeight="1">
      <c r="D221" s="379"/>
    </row>
    <row r="222" ht="12.75" customHeight="1">
      <c r="D222" s="379"/>
    </row>
    <row r="223" ht="12.75" customHeight="1">
      <c r="D223" s="379"/>
    </row>
    <row r="224" ht="12.75" customHeight="1">
      <c r="D224" s="379"/>
    </row>
    <row r="225" ht="12.75" customHeight="1">
      <c r="D225" s="379"/>
    </row>
    <row r="226" ht="12.75" customHeight="1">
      <c r="D226" s="379"/>
    </row>
    <row r="227" ht="12.75" customHeight="1">
      <c r="D227" s="379"/>
    </row>
    <row r="228" ht="12.75" customHeight="1">
      <c r="D228" s="379"/>
    </row>
    <row r="229" ht="12.75" customHeight="1">
      <c r="D229" s="379"/>
    </row>
    <row r="230" ht="12.75" customHeight="1">
      <c r="D230" s="379"/>
    </row>
    <row r="231" ht="12.75" customHeight="1">
      <c r="D231" s="379"/>
    </row>
    <row r="232" ht="12.75" customHeight="1">
      <c r="D232" s="379"/>
    </row>
    <row r="233" ht="12.75" customHeight="1">
      <c r="D233" s="379"/>
    </row>
    <row r="234" ht="12.75" customHeight="1">
      <c r="D234" s="379"/>
    </row>
    <row r="235" ht="12.75" customHeight="1">
      <c r="D235" s="379"/>
    </row>
    <row r="236" ht="12.75" customHeight="1">
      <c r="D236" s="379"/>
    </row>
    <row r="237" ht="12.75" customHeight="1">
      <c r="D237" s="379"/>
    </row>
    <row r="238" ht="12.75" customHeight="1">
      <c r="D238" s="379"/>
    </row>
    <row r="239" ht="12.75" customHeight="1">
      <c r="D239" s="379"/>
    </row>
    <row r="240" ht="12.75" customHeight="1">
      <c r="D240" s="379"/>
    </row>
    <row r="241" ht="12.75" customHeight="1">
      <c r="D241" s="379"/>
    </row>
    <row r="242" ht="12.75" customHeight="1">
      <c r="D242" s="379"/>
    </row>
    <row r="243" ht="12.75" customHeight="1">
      <c r="D243" s="379"/>
    </row>
    <row r="244" ht="12.75" customHeight="1">
      <c r="D244" s="379"/>
    </row>
    <row r="245" ht="12.75" customHeight="1">
      <c r="D245" s="379"/>
    </row>
    <row r="246" ht="12.75" customHeight="1">
      <c r="D246" s="379"/>
    </row>
    <row r="247" ht="12.75" customHeight="1">
      <c r="D247" s="379"/>
    </row>
    <row r="248" ht="12.75" customHeight="1">
      <c r="D248" s="379"/>
    </row>
    <row r="249" ht="12.75" customHeight="1">
      <c r="D249" s="379"/>
    </row>
    <row r="250" ht="12.75" customHeight="1">
      <c r="D250" s="379"/>
    </row>
    <row r="251" ht="12.75" customHeight="1">
      <c r="D251" s="379"/>
    </row>
    <row r="252" ht="12.75" customHeight="1">
      <c r="D252" s="379"/>
    </row>
    <row r="253" ht="12.75" customHeight="1">
      <c r="D253" s="379"/>
    </row>
    <row r="254" ht="12.75" customHeight="1">
      <c r="D254" s="379"/>
    </row>
    <row r="255" ht="12.75" customHeight="1">
      <c r="D255" s="379"/>
    </row>
    <row r="256" ht="12.75" customHeight="1">
      <c r="D256" s="379"/>
    </row>
    <row r="257" ht="12.75" customHeight="1">
      <c r="D257" s="379"/>
    </row>
    <row r="258" ht="12.75" customHeight="1">
      <c r="D258" s="379"/>
    </row>
    <row r="259" ht="12.75" customHeight="1">
      <c r="D259" s="379"/>
    </row>
    <row r="260" ht="12.75" customHeight="1">
      <c r="D260" s="379"/>
    </row>
    <row r="261" ht="12.75" customHeight="1">
      <c r="D261" s="379"/>
    </row>
    <row r="262" ht="12.75" customHeight="1">
      <c r="D262" s="379"/>
    </row>
    <row r="263" ht="12.75" customHeight="1">
      <c r="D263" s="379"/>
    </row>
    <row r="264" ht="12.75" customHeight="1">
      <c r="D264" s="379"/>
    </row>
    <row r="265" ht="12.75" customHeight="1">
      <c r="D265" s="379"/>
    </row>
    <row r="266" ht="12.75" customHeight="1">
      <c r="D266" s="379"/>
    </row>
    <row r="267" ht="12.75" customHeight="1">
      <c r="D267" s="379"/>
    </row>
    <row r="268" ht="12.75" customHeight="1">
      <c r="D268" s="379"/>
    </row>
    <row r="269" ht="12.75" customHeight="1">
      <c r="D269" s="379"/>
    </row>
    <row r="270" ht="12.75" customHeight="1">
      <c r="D270" s="379"/>
    </row>
    <row r="271" ht="12.75" customHeight="1">
      <c r="D271" s="379"/>
    </row>
    <row r="272" ht="12.75" customHeight="1">
      <c r="D272" s="379"/>
    </row>
    <row r="273" ht="12.75" customHeight="1">
      <c r="D273" s="379"/>
    </row>
    <row r="274" ht="12.75" customHeight="1">
      <c r="D274" s="379"/>
    </row>
    <row r="275" ht="12.75" customHeight="1">
      <c r="D275" s="379"/>
    </row>
    <row r="276" ht="12.75" customHeight="1">
      <c r="D276" s="379"/>
    </row>
    <row r="277" ht="12.75" customHeight="1">
      <c r="D277" s="379"/>
    </row>
    <row r="278" ht="12.75" customHeight="1">
      <c r="D278" s="379"/>
    </row>
    <row r="279" ht="12.75" customHeight="1">
      <c r="D279" s="379"/>
    </row>
    <row r="280" ht="12.75" customHeight="1">
      <c r="D280" s="379"/>
    </row>
    <row r="281" ht="12.75" customHeight="1">
      <c r="D281" s="379"/>
    </row>
    <row r="282" ht="12.75" customHeight="1">
      <c r="D282" s="379"/>
    </row>
    <row r="283" ht="12.75" customHeight="1">
      <c r="D283" s="379"/>
    </row>
    <row r="284" ht="12.75" customHeight="1">
      <c r="D284" s="379"/>
    </row>
    <row r="285" ht="12.75" customHeight="1">
      <c r="D285" s="379"/>
    </row>
    <row r="286" ht="12.75" customHeight="1">
      <c r="D286" s="379"/>
    </row>
    <row r="287" ht="12.75" customHeight="1">
      <c r="D287" s="379"/>
    </row>
    <row r="288" ht="12.75" customHeight="1">
      <c r="D288" s="379"/>
    </row>
    <row r="289" ht="12.75" customHeight="1">
      <c r="D289" s="379"/>
    </row>
    <row r="290" ht="12.75" customHeight="1">
      <c r="D290" s="379"/>
    </row>
    <row r="291" ht="12.75" customHeight="1">
      <c r="D291" s="379"/>
    </row>
    <row r="292" ht="12.75" customHeight="1">
      <c r="D292" s="379"/>
    </row>
    <row r="293" ht="12.75" customHeight="1">
      <c r="D293" s="379"/>
    </row>
    <row r="294" ht="12.75" customHeight="1">
      <c r="D294" s="379"/>
    </row>
    <row r="295" ht="12.75" customHeight="1">
      <c r="D295" s="379"/>
    </row>
    <row r="296" ht="12.75" customHeight="1">
      <c r="D296" s="379"/>
    </row>
    <row r="297" ht="12.75" customHeight="1">
      <c r="D297" s="379"/>
    </row>
    <row r="298" ht="12.75" customHeight="1">
      <c r="D298" s="379"/>
    </row>
    <row r="299" ht="12.75" customHeight="1">
      <c r="D299" s="379"/>
    </row>
    <row r="300" ht="12.75" customHeight="1">
      <c r="D300" s="379"/>
    </row>
    <row r="301" ht="12.75" customHeight="1">
      <c r="D301" s="379"/>
    </row>
    <row r="302" ht="12.75" customHeight="1">
      <c r="D302" s="379"/>
    </row>
    <row r="303" ht="12.75" customHeight="1">
      <c r="D303" s="379"/>
    </row>
    <row r="304" ht="12.75" customHeight="1">
      <c r="D304" s="379"/>
    </row>
    <row r="305" ht="12.75" customHeight="1">
      <c r="D305" s="379"/>
    </row>
    <row r="306" ht="12.75" customHeight="1">
      <c r="D306" s="379"/>
    </row>
    <row r="307" ht="12.75" customHeight="1">
      <c r="D307" s="379"/>
    </row>
    <row r="308" ht="12.75" customHeight="1">
      <c r="D308" s="379"/>
    </row>
    <row r="309" ht="12.75" customHeight="1">
      <c r="D309" s="379"/>
    </row>
    <row r="310" ht="12.75" customHeight="1">
      <c r="D310" s="379"/>
    </row>
    <row r="311" ht="12.75" customHeight="1">
      <c r="D311" s="379"/>
    </row>
    <row r="312" ht="12.75" customHeight="1">
      <c r="D312" s="379"/>
    </row>
    <row r="313" ht="12.75" customHeight="1">
      <c r="D313" s="379"/>
    </row>
    <row r="314" ht="12.75" customHeight="1">
      <c r="D314" s="379"/>
    </row>
    <row r="315" ht="12.75" customHeight="1">
      <c r="D315" s="379"/>
    </row>
    <row r="316" ht="12.75" customHeight="1">
      <c r="D316" s="379"/>
    </row>
    <row r="317" ht="12.75" customHeight="1">
      <c r="D317" s="379"/>
    </row>
    <row r="318" ht="12.75" customHeight="1">
      <c r="D318" s="379"/>
    </row>
    <row r="319" ht="12.75" customHeight="1">
      <c r="D319" s="379"/>
    </row>
    <row r="320" ht="12.75" customHeight="1">
      <c r="D320" s="379"/>
    </row>
    <row r="321" ht="12.75" customHeight="1">
      <c r="D321" s="379"/>
    </row>
    <row r="322" ht="12.75" customHeight="1">
      <c r="D322" s="379"/>
    </row>
    <row r="323" ht="12.75" customHeight="1">
      <c r="D323" s="379"/>
    </row>
    <row r="324" ht="12.75" customHeight="1">
      <c r="D324" s="379"/>
    </row>
    <row r="325" ht="12.75" customHeight="1">
      <c r="D325" s="379"/>
    </row>
    <row r="326" ht="12.75" customHeight="1">
      <c r="D326" s="379"/>
    </row>
    <row r="327" ht="12.75" customHeight="1">
      <c r="D327" s="379"/>
    </row>
    <row r="328" ht="12.75" customHeight="1">
      <c r="D328" s="379"/>
    </row>
    <row r="329" ht="12.75" customHeight="1">
      <c r="D329" s="379"/>
    </row>
    <row r="330" ht="12.75" customHeight="1">
      <c r="D330" s="379"/>
    </row>
    <row r="331" ht="12.75" customHeight="1">
      <c r="D331" s="379"/>
    </row>
    <row r="332" ht="12.75" customHeight="1">
      <c r="D332" s="379"/>
    </row>
    <row r="333" ht="12.75" customHeight="1">
      <c r="D333" s="379"/>
    </row>
    <row r="334" ht="12.75" customHeight="1">
      <c r="D334" s="379"/>
    </row>
    <row r="335" ht="12.75" customHeight="1">
      <c r="D335" s="379"/>
    </row>
    <row r="336" ht="12.75" customHeight="1">
      <c r="D336" s="379"/>
    </row>
    <row r="337" ht="12.75" customHeight="1">
      <c r="D337" s="379"/>
    </row>
    <row r="338" ht="12.75" customHeight="1">
      <c r="D338" s="379"/>
    </row>
    <row r="339" ht="12.75" customHeight="1">
      <c r="D339" s="379"/>
    </row>
    <row r="340" ht="12.75" customHeight="1">
      <c r="D340" s="379"/>
    </row>
    <row r="341" ht="12.75" customHeight="1">
      <c r="D341" s="379"/>
    </row>
    <row r="342" ht="12.75" customHeight="1">
      <c r="D342" s="379"/>
    </row>
    <row r="343" ht="12.75" customHeight="1">
      <c r="D343" s="379"/>
    </row>
    <row r="344" ht="12.75" customHeight="1">
      <c r="D344" s="379"/>
    </row>
    <row r="345" ht="12.75" customHeight="1">
      <c r="D345" s="379"/>
    </row>
    <row r="346" ht="12.75" customHeight="1">
      <c r="D346" s="379"/>
    </row>
    <row r="347" ht="12.75" customHeight="1">
      <c r="D347" s="379"/>
    </row>
    <row r="348" ht="12.75" customHeight="1">
      <c r="D348" s="379"/>
    </row>
    <row r="349" ht="12.75" customHeight="1">
      <c r="D349" s="379"/>
    </row>
    <row r="350" ht="12.75" customHeight="1">
      <c r="D350" s="379"/>
    </row>
    <row r="351" ht="12.75" customHeight="1">
      <c r="D351" s="379"/>
    </row>
    <row r="352" ht="12.75" customHeight="1">
      <c r="D352" s="379"/>
    </row>
    <row r="353" ht="12.75" customHeight="1">
      <c r="D353" s="379"/>
    </row>
    <row r="354" ht="12.75" customHeight="1">
      <c r="D354" s="379"/>
    </row>
    <row r="355" ht="12.75" customHeight="1">
      <c r="D355" s="379"/>
    </row>
    <row r="356" ht="12.75" customHeight="1">
      <c r="D356" s="379"/>
    </row>
    <row r="357" ht="12.75" customHeight="1">
      <c r="D357" s="379"/>
    </row>
    <row r="358" ht="12.75" customHeight="1">
      <c r="D358" s="379"/>
    </row>
    <row r="359" ht="12.75" customHeight="1">
      <c r="D359" s="379"/>
    </row>
    <row r="360" ht="12.75" customHeight="1">
      <c r="D360" s="379"/>
    </row>
    <row r="361" ht="12.75" customHeight="1">
      <c r="D361" s="379"/>
    </row>
    <row r="362" ht="12.75" customHeight="1">
      <c r="D362" s="379"/>
    </row>
    <row r="363" ht="12.75" customHeight="1">
      <c r="D363" s="379"/>
    </row>
    <row r="364" ht="12.75" customHeight="1">
      <c r="D364" s="379"/>
    </row>
    <row r="365" ht="12.75" customHeight="1">
      <c r="D365" s="379"/>
    </row>
    <row r="366" ht="12.75" customHeight="1">
      <c r="D366" s="379"/>
    </row>
    <row r="367" ht="12.75" customHeight="1">
      <c r="D367" s="379"/>
    </row>
    <row r="368" ht="12.75" customHeight="1">
      <c r="D368" s="379"/>
    </row>
    <row r="369" ht="12.75" customHeight="1">
      <c r="D369" s="379"/>
    </row>
    <row r="370" ht="12.75" customHeight="1">
      <c r="D370" s="379"/>
    </row>
    <row r="371" ht="12.75" customHeight="1">
      <c r="D371" s="379"/>
    </row>
    <row r="372" ht="12.75" customHeight="1">
      <c r="D372" s="379"/>
    </row>
    <row r="373" ht="12.75" customHeight="1">
      <c r="D373" s="379"/>
    </row>
    <row r="374" ht="12.75" customHeight="1">
      <c r="D374" s="379"/>
    </row>
    <row r="375" ht="12.75" customHeight="1">
      <c r="D375" s="379"/>
    </row>
    <row r="376" ht="12.75" customHeight="1">
      <c r="D376" s="379"/>
    </row>
    <row r="377" ht="12.75" customHeight="1">
      <c r="D377" s="379"/>
    </row>
    <row r="378" ht="12.75" customHeight="1">
      <c r="D378" s="379"/>
    </row>
    <row r="379" ht="12.75" customHeight="1">
      <c r="D379" s="379"/>
    </row>
    <row r="380" ht="12.75" customHeight="1">
      <c r="D380" s="379"/>
    </row>
    <row r="381" ht="12.75" customHeight="1">
      <c r="D381" s="379"/>
    </row>
    <row r="382" ht="12.75" customHeight="1">
      <c r="D382" s="379"/>
    </row>
    <row r="383" ht="12.75" customHeight="1">
      <c r="D383" s="379"/>
    </row>
    <row r="384" ht="12.75" customHeight="1">
      <c r="D384" s="379"/>
    </row>
    <row r="385" ht="12.75" customHeight="1">
      <c r="D385" s="379"/>
    </row>
    <row r="386" ht="12.75" customHeight="1">
      <c r="D386" s="379"/>
    </row>
    <row r="387" ht="12.75" customHeight="1">
      <c r="D387" s="379"/>
    </row>
    <row r="388" ht="12.75" customHeight="1">
      <c r="D388" s="379"/>
    </row>
    <row r="389" ht="12.75" customHeight="1">
      <c r="D389" s="379"/>
    </row>
    <row r="390" ht="12.75" customHeight="1">
      <c r="D390" s="379"/>
    </row>
    <row r="391" ht="12.75" customHeight="1">
      <c r="D391" s="379"/>
    </row>
    <row r="392" ht="12.75" customHeight="1">
      <c r="D392" s="379"/>
    </row>
    <row r="393" ht="12.75" customHeight="1">
      <c r="D393" s="379"/>
    </row>
    <row r="394" ht="12.75" customHeight="1">
      <c r="D394" s="379"/>
    </row>
    <row r="395" ht="12.75" customHeight="1">
      <c r="D395" s="379"/>
    </row>
    <row r="396" ht="12.75" customHeight="1">
      <c r="D396" s="379"/>
    </row>
    <row r="397" ht="12.75" customHeight="1">
      <c r="D397" s="379"/>
    </row>
    <row r="398" ht="12.75" customHeight="1">
      <c r="D398" s="379"/>
    </row>
    <row r="399" ht="12.75" customHeight="1">
      <c r="D399" s="379"/>
    </row>
    <row r="400" ht="12.75" customHeight="1">
      <c r="D400" s="379"/>
    </row>
    <row r="401" ht="12.75" customHeight="1">
      <c r="D401" s="379"/>
    </row>
    <row r="402" ht="12.75" customHeight="1">
      <c r="D402" s="379"/>
    </row>
    <row r="403" ht="12.75" customHeight="1">
      <c r="D403" s="379"/>
    </row>
    <row r="404" ht="12.75" customHeight="1">
      <c r="D404" s="379"/>
    </row>
    <row r="405" ht="12.75" customHeight="1">
      <c r="D405" s="379"/>
    </row>
    <row r="406" ht="12.75" customHeight="1">
      <c r="D406" s="379"/>
    </row>
    <row r="407" ht="12.75" customHeight="1">
      <c r="D407" s="379"/>
    </row>
    <row r="408" ht="12.75" customHeight="1">
      <c r="D408" s="379"/>
    </row>
    <row r="409" ht="12.75" customHeight="1">
      <c r="D409" s="379"/>
    </row>
    <row r="410" ht="12.75" customHeight="1">
      <c r="D410" s="379"/>
    </row>
    <row r="411" ht="12.75" customHeight="1">
      <c r="D411" s="379"/>
    </row>
    <row r="412" ht="12.75" customHeight="1">
      <c r="D412" s="379"/>
    </row>
    <row r="413" ht="12.75" customHeight="1">
      <c r="D413" s="379"/>
    </row>
    <row r="414" ht="12.75" customHeight="1">
      <c r="D414" s="379"/>
    </row>
    <row r="415" ht="12.75" customHeight="1">
      <c r="D415" s="379"/>
    </row>
    <row r="416" ht="12.75" customHeight="1">
      <c r="D416" s="379"/>
    </row>
    <row r="417" ht="12.75" customHeight="1">
      <c r="D417" s="379"/>
    </row>
    <row r="418" ht="12.75" customHeight="1">
      <c r="D418" s="379"/>
    </row>
    <row r="419" ht="12.75" customHeight="1">
      <c r="D419" s="379"/>
    </row>
    <row r="420" ht="12.75" customHeight="1">
      <c r="D420" s="379"/>
    </row>
    <row r="421" ht="12.75" customHeight="1">
      <c r="D421" s="379"/>
    </row>
    <row r="422" ht="12.75" customHeight="1">
      <c r="D422" s="379"/>
    </row>
    <row r="423" ht="12.75" customHeight="1">
      <c r="D423" s="379"/>
    </row>
    <row r="424" ht="12.75" customHeight="1">
      <c r="D424" s="379"/>
    </row>
    <row r="425" ht="12.75" customHeight="1">
      <c r="D425" s="379"/>
    </row>
    <row r="426" ht="12.75" customHeight="1">
      <c r="D426" s="379"/>
    </row>
    <row r="427" ht="12.75" customHeight="1">
      <c r="D427" s="379"/>
    </row>
    <row r="428" ht="12.75" customHeight="1">
      <c r="D428" s="379"/>
    </row>
    <row r="429" ht="12.75" customHeight="1">
      <c r="D429" s="379"/>
    </row>
    <row r="430" ht="12.75" customHeight="1">
      <c r="D430" s="379"/>
    </row>
    <row r="431" ht="12.75" customHeight="1">
      <c r="D431" s="379"/>
    </row>
    <row r="432" ht="12.75" customHeight="1">
      <c r="D432" s="379"/>
    </row>
    <row r="433" ht="12.75" customHeight="1">
      <c r="D433" s="379"/>
    </row>
    <row r="434" ht="12.75" customHeight="1">
      <c r="D434" s="379"/>
    </row>
    <row r="435" ht="12.75" customHeight="1">
      <c r="D435" s="379"/>
    </row>
    <row r="436" ht="12.75" customHeight="1">
      <c r="D436" s="379"/>
    </row>
    <row r="437" ht="12.75" customHeight="1">
      <c r="D437" s="379"/>
    </row>
    <row r="438" ht="12.75" customHeight="1">
      <c r="D438" s="379"/>
    </row>
    <row r="439" ht="12.75" customHeight="1">
      <c r="D439" s="379"/>
    </row>
    <row r="440" ht="12.75" customHeight="1">
      <c r="D440" s="379"/>
    </row>
    <row r="441" ht="12.75" customHeight="1">
      <c r="D441" s="379"/>
    </row>
    <row r="442" ht="12.75" customHeight="1">
      <c r="D442" s="379"/>
    </row>
    <row r="443" ht="12.75" customHeight="1">
      <c r="D443" s="379"/>
    </row>
    <row r="444" ht="12.75" customHeight="1">
      <c r="D444" s="379"/>
    </row>
    <row r="445" ht="12.75" customHeight="1">
      <c r="D445" s="379"/>
    </row>
    <row r="446" ht="12.75" customHeight="1">
      <c r="D446" s="379"/>
    </row>
    <row r="447" ht="12.75" customHeight="1">
      <c r="D447" s="379"/>
    </row>
    <row r="448" ht="12.75" customHeight="1">
      <c r="D448" s="379"/>
    </row>
    <row r="449" ht="12.75" customHeight="1">
      <c r="D449" s="379"/>
    </row>
    <row r="450" ht="12.75" customHeight="1">
      <c r="D450" s="379"/>
    </row>
    <row r="451" ht="12.75" customHeight="1">
      <c r="D451" s="379"/>
    </row>
    <row r="452" ht="12.75" customHeight="1">
      <c r="D452" s="379"/>
    </row>
    <row r="453" ht="12.75" customHeight="1">
      <c r="D453" s="379"/>
    </row>
    <row r="454" ht="12.75" customHeight="1">
      <c r="D454" s="379"/>
    </row>
    <row r="455" ht="12.75" customHeight="1">
      <c r="D455" s="379"/>
    </row>
    <row r="456" ht="12.75" customHeight="1">
      <c r="D456" s="379"/>
    </row>
    <row r="457" ht="12.75" customHeight="1">
      <c r="D457" s="379"/>
    </row>
    <row r="458" ht="12.75" customHeight="1">
      <c r="D458" s="379"/>
    </row>
    <row r="459" ht="12.75" customHeight="1">
      <c r="D459" s="379"/>
    </row>
    <row r="460" ht="12.75" customHeight="1">
      <c r="D460" s="379"/>
    </row>
    <row r="461" ht="12.75" customHeight="1">
      <c r="D461" s="379"/>
    </row>
    <row r="462" ht="12.75" customHeight="1">
      <c r="D462" s="379"/>
    </row>
    <row r="463" ht="12.75" customHeight="1">
      <c r="D463" s="379"/>
    </row>
    <row r="464" ht="12.75" customHeight="1">
      <c r="D464" s="379"/>
    </row>
    <row r="465" ht="12.75" customHeight="1">
      <c r="D465" s="379"/>
    </row>
    <row r="466" ht="12.75" customHeight="1">
      <c r="D466" s="379"/>
    </row>
    <row r="467" ht="12.75" customHeight="1">
      <c r="D467" s="379"/>
    </row>
    <row r="468" ht="12.75" customHeight="1">
      <c r="D468" s="379"/>
    </row>
    <row r="469" ht="12.75" customHeight="1">
      <c r="D469" s="379"/>
    </row>
    <row r="470" ht="12.75" customHeight="1">
      <c r="D470" s="379"/>
    </row>
    <row r="471" ht="12.75" customHeight="1">
      <c r="D471" s="379"/>
    </row>
    <row r="472" ht="12.75" customHeight="1">
      <c r="D472" s="379"/>
    </row>
    <row r="473" ht="12.75" customHeight="1">
      <c r="D473" s="379"/>
    </row>
    <row r="474" ht="12.75" customHeight="1">
      <c r="D474" s="379"/>
    </row>
    <row r="475" ht="12.75" customHeight="1">
      <c r="D475" s="379"/>
    </row>
    <row r="476" ht="12.75" customHeight="1">
      <c r="D476" s="379"/>
    </row>
    <row r="477" ht="12.75" customHeight="1">
      <c r="D477" s="379"/>
    </row>
    <row r="478" ht="12.75" customHeight="1">
      <c r="D478" s="379"/>
    </row>
    <row r="479" ht="12.75" customHeight="1">
      <c r="D479" s="379"/>
    </row>
    <row r="480" ht="12.75" customHeight="1">
      <c r="D480" s="379"/>
    </row>
    <row r="481" ht="12.75" customHeight="1">
      <c r="D481" s="379"/>
    </row>
    <row r="482" ht="12.75" customHeight="1">
      <c r="D482" s="379"/>
    </row>
    <row r="483" ht="12.75" customHeight="1">
      <c r="D483" s="379"/>
    </row>
    <row r="484" ht="12.75" customHeight="1">
      <c r="D484" s="379"/>
    </row>
    <row r="485" ht="12.75" customHeight="1">
      <c r="D485" s="379"/>
    </row>
    <row r="486" ht="12.75" customHeight="1">
      <c r="D486" s="379"/>
    </row>
    <row r="487" ht="12.75" customHeight="1">
      <c r="D487" s="379"/>
    </row>
    <row r="488" ht="12.75" customHeight="1">
      <c r="D488" s="379"/>
    </row>
    <row r="489" ht="12.75" customHeight="1">
      <c r="D489" s="379"/>
    </row>
    <row r="490" ht="12.75" customHeight="1">
      <c r="D490" s="379"/>
    </row>
    <row r="491" ht="12.75" customHeight="1">
      <c r="D491" s="379"/>
    </row>
    <row r="492" ht="12.75" customHeight="1">
      <c r="D492" s="379"/>
    </row>
    <row r="493" ht="12.75" customHeight="1">
      <c r="D493" s="379"/>
    </row>
    <row r="494" ht="12.75" customHeight="1">
      <c r="D494" s="379"/>
    </row>
    <row r="495" ht="12.75" customHeight="1">
      <c r="D495" s="379"/>
    </row>
    <row r="496" ht="12.75" customHeight="1">
      <c r="D496" s="379"/>
    </row>
    <row r="497" ht="12.75" customHeight="1">
      <c r="D497" s="379"/>
    </row>
    <row r="498" ht="12.75" customHeight="1">
      <c r="D498" s="379"/>
    </row>
    <row r="499" ht="12.75" customHeight="1">
      <c r="D499" s="379"/>
    </row>
    <row r="500" ht="12.75" customHeight="1">
      <c r="D500" s="379"/>
    </row>
    <row r="501" ht="12.75" customHeight="1">
      <c r="D501" s="379"/>
    </row>
    <row r="502" ht="12.75" customHeight="1">
      <c r="D502" s="379"/>
    </row>
    <row r="503" ht="12.75" customHeight="1">
      <c r="D503" s="379"/>
    </row>
    <row r="504" ht="12.75" customHeight="1">
      <c r="D504" s="379"/>
    </row>
    <row r="505" ht="12.75" customHeight="1">
      <c r="D505" s="379"/>
    </row>
    <row r="506" ht="12.75" customHeight="1">
      <c r="D506" s="379"/>
    </row>
    <row r="507" ht="12.75" customHeight="1">
      <c r="D507" s="379"/>
    </row>
    <row r="508" ht="12.75" customHeight="1">
      <c r="D508" s="379"/>
    </row>
    <row r="509" ht="12.75" customHeight="1">
      <c r="D509" s="379"/>
    </row>
    <row r="510" ht="12.75" customHeight="1">
      <c r="D510" s="379"/>
    </row>
    <row r="511" ht="12.75" customHeight="1">
      <c r="D511" s="379"/>
    </row>
    <row r="512" ht="12.75" customHeight="1">
      <c r="D512" s="379"/>
    </row>
    <row r="513" ht="12.75" customHeight="1">
      <c r="D513" s="379"/>
    </row>
    <row r="514" ht="12.75" customHeight="1">
      <c r="D514" s="379"/>
    </row>
    <row r="515" ht="12.75" customHeight="1">
      <c r="D515" s="379"/>
    </row>
    <row r="516" ht="12.75" customHeight="1">
      <c r="D516" s="379"/>
    </row>
    <row r="517" ht="12.75" customHeight="1">
      <c r="D517" s="379"/>
    </row>
    <row r="518" ht="12.75" customHeight="1">
      <c r="D518" s="379"/>
    </row>
    <row r="519" ht="12.75" customHeight="1">
      <c r="D519" s="379"/>
    </row>
    <row r="520" ht="12.75" customHeight="1">
      <c r="D520" s="379"/>
    </row>
    <row r="521" ht="12.75" customHeight="1">
      <c r="D521" s="379"/>
    </row>
    <row r="522" ht="12.75" customHeight="1">
      <c r="D522" s="379"/>
    </row>
    <row r="523" ht="12.75" customHeight="1">
      <c r="D523" s="379"/>
    </row>
    <row r="524" ht="12.75" customHeight="1">
      <c r="D524" s="379"/>
    </row>
    <row r="525" ht="12.75" customHeight="1">
      <c r="D525" s="379"/>
    </row>
    <row r="526" ht="12.75" customHeight="1">
      <c r="D526" s="379"/>
    </row>
    <row r="527" ht="12.75" customHeight="1">
      <c r="D527" s="379"/>
    </row>
    <row r="528" ht="12.75" customHeight="1">
      <c r="D528" s="379"/>
    </row>
    <row r="529" ht="12.75" customHeight="1">
      <c r="D529" s="379"/>
    </row>
    <row r="530" ht="12.75" customHeight="1">
      <c r="D530" s="379"/>
    </row>
    <row r="531" ht="12.75" customHeight="1">
      <c r="D531" s="379"/>
    </row>
    <row r="532" ht="12.75" customHeight="1">
      <c r="D532" s="379"/>
    </row>
    <row r="533" ht="12.75" customHeight="1">
      <c r="D533" s="379"/>
    </row>
    <row r="534" ht="12.75" customHeight="1">
      <c r="D534" s="379"/>
    </row>
    <row r="535" ht="12.75" customHeight="1">
      <c r="D535" s="379"/>
    </row>
    <row r="536" ht="12.75" customHeight="1">
      <c r="D536" s="379"/>
    </row>
    <row r="537" ht="12.75" customHeight="1">
      <c r="D537" s="379"/>
    </row>
    <row r="538" ht="12.75" customHeight="1">
      <c r="D538" s="379"/>
    </row>
    <row r="539" ht="12.75" customHeight="1">
      <c r="D539" s="379"/>
    </row>
    <row r="540" ht="12.75" customHeight="1">
      <c r="D540" s="379"/>
    </row>
    <row r="541" ht="12.75" customHeight="1">
      <c r="D541" s="379"/>
    </row>
    <row r="542" ht="12.75" customHeight="1">
      <c r="D542" s="379"/>
    </row>
    <row r="543" ht="12.75" customHeight="1">
      <c r="D543" s="379"/>
    </row>
    <row r="544" ht="12.75" customHeight="1">
      <c r="D544" s="379"/>
    </row>
    <row r="545" ht="12.75" customHeight="1">
      <c r="D545" s="379"/>
    </row>
    <row r="546" ht="12.75" customHeight="1">
      <c r="D546" s="379"/>
    </row>
    <row r="547" ht="12.75" customHeight="1">
      <c r="D547" s="379"/>
    </row>
    <row r="548" ht="12.75" customHeight="1">
      <c r="D548" s="379"/>
    </row>
    <row r="549" ht="12.75" customHeight="1">
      <c r="D549" s="379"/>
    </row>
    <row r="550" ht="12.75" customHeight="1">
      <c r="D550" s="379"/>
    </row>
    <row r="551" ht="12.75" customHeight="1">
      <c r="D551" s="379"/>
    </row>
    <row r="552" ht="12.75" customHeight="1">
      <c r="D552" s="379"/>
    </row>
    <row r="553" ht="12.75" customHeight="1">
      <c r="D553" s="379"/>
    </row>
    <row r="554" ht="12.75" customHeight="1">
      <c r="D554" s="379"/>
    </row>
    <row r="555" ht="12.75" customHeight="1">
      <c r="D555" s="379"/>
    </row>
    <row r="556" ht="12.75" customHeight="1">
      <c r="D556" s="379"/>
    </row>
    <row r="557" ht="12.75" customHeight="1">
      <c r="D557" s="379"/>
    </row>
    <row r="558" ht="12.75" customHeight="1">
      <c r="D558" s="379"/>
    </row>
    <row r="559" ht="12.75" customHeight="1">
      <c r="D559" s="379"/>
    </row>
    <row r="560" ht="12.75" customHeight="1">
      <c r="D560" s="379"/>
    </row>
    <row r="561" ht="12.75" customHeight="1">
      <c r="D561" s="379"/>
    </row>
    <row r="562" ht="12.75" customHeight="1">
      <c r="D562" s="379"/>
    </row>
    <row r="563" ht="12.75" customHeight="1">
      <c r="D563" s="379"/>
    </row>
    <row r="564" ht="12.75" customHeight="1">
      <c r="D564" s="379"/>
    </row>
    <row r="565" ht="12.75" customHeight="1">
      <c r="D565" s="379"/>
    </row>
    <row r="566" ht="12.75" customHeight="1">
      <c r="D566" s="379"/>
    </row>
    <row r="567" ht="12.75" customHeight="1">
      <c r="D567" s="379"/>
    </row>
    <row r="568" ht="12.75" customHeight="1">
      <c r="D568" s="379"/>
    </row>
    <row r="569" ht="12.75" customHeight="1">
      <c r="D569" s="379"/>
    </row>
    <row r="570" ht="12.75" customHeight="1">
      <c r="D570" s="379"/>
    </row>
    <row r="571" ht="12.75" customHeight="1">
      <c r="D571" s="379"/>
    </row>
    <row r="572" ht="12.75" customHeight="1">
      <c r="D572" s="379"/>
    </row>
    <row r="573" ht="12.75" customHeight="1">
      <c r="D573" s="379"/>
    </row>
    <row r="574" ht="12.75" customHeight="1">
      <c r="D574" s="379"/>
    </row>
    <row r="575" ht="12.75" customHeight="1">
      <c r="D575" s="379"/>
    </row>
    <row r="576" ht="12.75" customHeight="1">
      <c r="D576" s="379"/>
    </row>
    <row r="577" ht="12.75" customHeight="1">
      <c r="D577" s="379"/>
    </row>
    <row r="578" ht="12.75" customHeight="1">
      <c r="D578" s="379"/>
    </row>
    <row r="579" ht="12.75" customHeight="1">
      <c r="D579" s="379"/>
    </row>
    <row r="580" ht="12.75" customHeight="1">
      <c r="D580" s="379"/>
    </row>
    <row r="581" ht="12.75" customHeight="1">
      <c r="D581" s="379"/>
    </row>
    <row r="582" ht="12.75" customHeight="1">
      <c r="D582" s="379"/>
    </row>
    <row r="583" ht="12.75" customHeight="1">
      <c r="D583" s="379"/>
    </row>
    <row r="584" ht="12.75" customHeight="1">
      <c r="D584" s="379"/>
    </row>
    <row r="585" ht="12.75" customHeight="1">
      <c r="D585" s="379"/>
    </row>
    <row r="586" ht="12.75" customHeight="1">
      <c r="D586" s="379"/>
    </row>
    <row r="587" ht="12.75" customHeight="1">
      <c r="D587" s="379"/>
    </row>
    <row r="588" ht="12.75" customHeight="1">
      <c r="D588" s="379"/>
    </row>
    <row r="589" ht="12.75" customHeight="1">
      <c r="D589" s="379"/>
    </row>
    <row r="590" ht="12.75" customHeight="1">
      <c r="D590" s="379"/>
    </row>
    <row r="591" ht="12.75" customHeight="1">
      <c r="D591" s="379"/>
    </row>
    <row r="592" ht="12.75" customHeight="1">
      <c r="D592" s="379"/>
    </row>
    <row r="593" ht="12.75" customHeight="1">
      <c r="D593" s="379"/>
    </row>
    <row r="594" ht="12.75" customHeight="1">
      <c r="D594" s="379"/>
    </row>
    <row r="595" ht="12.75" customHeight="1">
      <c r="D595" s="379"/>
    </row>
    <row r="596" ht="12.75" customHeight="1">
      <c r="D596" s="379"/>
    </row>
    <row r="597" ht="12.75" customHeight="1">
      <c r="D597" s="379"/>
    </row>
    <row r="598" ht="12.75" customHeight="1">
      <c r="D598" s="379"/>
    </row>
    <row r="599" ht="12.75" customHeight="1">
      <c r="D599" s="379"/>
    </row>
    <row r="600" ht="12.75" customHeight="1">
      <c r="D600" s="379"/>
    </row>
    <row r="601" ht="12.75" customHeight="1">
      <c r="D601" s="379"/>
    </row>
    <row r="602" ht="12.75" customHeight="1">
      <c r="D602" s="379"/>
    </row>
    <row r="603" ht="12.75" customHeight="1">
      <c r="D603" s="379"/>
    </row>
    <row r="604" ht="12.75" customHeight="1">
      <c r="D604" s="379"/>
    </row>
    <row r="605" ht="12.75" customHeight="1">
      <c r="D605" s="379"/>
    </row>
    <row r="606" ht="12.75" customHeight="1">
      <c r="D606" s="379"/>
    </row>
    <row r="607" ht="12.75" customHeight="1">
      <c r="D607" s="379"/>
    </row>
    <row r="608" ht="12.75" customHeight="1">
      <c r="D608" s="379"/>
    </row>
    <row r="609" ht="12.75" customHeight="1">
      <c r="D609" s="379"/>
    </row>
    <row r="610" ht="12.75" customHeight="1">
      <c r="D610" s="379"/>
    </row>
    <row r="611" ht="12.75" customHeight="1">
      <c r="D611" s="379"/>
    </row>
    <row r="612" ht="12.75" customHeight="1">
      <c r="D612" s="379"/>
    </row>
    <row r="613" ht="12.75" customHeight="1">
      <c r="D613" s="379"/>
    </row>
    <row r="614" ht="12.75" customHeight="1">
      <c r="D614" s="379"/>
    </row>
    <row r="615" ht="12.75" customHeight="1">
      <c r="D615" s="379"/>
    </row>
    <row r="616" ht="12.75" customHeight="1">
      <c r="D616" s="379"/>
    </row>
    <row r="617" ht="12.75" customHeight="1">
      <c r="D617" s="379"/>
    </row>
    <row r="618" ht="12.75" customHeight="1">
      <c r="D618" s="379"/>
    </row>
    <row r="619" ht="12.75" customHeight="1">
      <c r="D619" s="379"/>
    </row>
    <row r="620" ht="12.75" customHeight="1">
      <c r="D620" s="379"/>
    </row>
    <row r="621" ht="12.75" customHeight="1">
      <c r="D621" s="379"/>
    </row>
    <row r="622" ht="12.75" customHeight="1">
      <c r="D622" s="379"/>
    </row>
    <row r="623" ht="12.75" customHeight="1">
      <c r="D623" s="379"/>
    </row>
    <row r="624" ht="12.75" customHeight="1">
      <c r="D624" s="379"/>
    </row>
    <row r="625" ht="12.75" customHeight="1">
      <c r="D625" s="379"/>
    </row>
    <row r="626" ht="12.75" customHeight="1">
      <c r="D626" s="379"/>
    </row>
    <row r="627" ht="12.75" customHeight="1">
      <c r="D627" s="379"/>
    </row>
    <row r="628" ht="12.75" customHeight="1">
      <c r="D628" s="379"/>
    </row>
    <row r="629" ht="12.75" customHeight="1">
      <c r="D629" s="379"/>
    </row>
    <row r="630" ht="12.75" customHeight="1">
      <c r="D630" s="379"/>
    </row>
    <row r="631" ht="12.75" customHeight="1">
      <c r="D631" s="379"/>
    </row>
    <row r="632" ht="12.75" customHeight="1">
      <c r="D632" s="379"/>
    </row>
    <row r="633" ht="12.75" customHeight="1">
      <c r="D633" s="379"/>
    </row>
    <row r="634" ht="12.75" customHeight="1">
      <c r="D634" s="379"/>
    </row>
    <row r="635" ht="12.75" customHeight="1">
      <c r="D635" s="379"/>
    </row>
    <row r="636" ht="12.75" customHeight="1">
      <c r="D636" s="379"/>
    </row>
    <row r="637" ht="12.75" customHeight="1">
      <c r="D637" s="379"/>
    </row>
    <row r="638" ht="12.75" customHeight="1">
      <c r="D638" s="379"/>
    </row>
    <row r="639" ht="12.75" customHeight="1">
      <c r="D639" s="379"/>
    </row>
    <row r="640" ht="12.75" customHeight="1">
      <c r="D640" s="379"/>
    </row>
    <row r="641" ht="12.75" customHeight="1">
      <c r="D641" s="379"/>
    </row>
    <row r="642" ht="12.75" customHeight="1">
      <c r="D642" s="379"/>
    </row>
    <row r="643" ht="12.75" customHeight="1">
      <c r="D643" s="379"/>
    </row>
    <row r="644" ht="12.75" customHeight="1">
      <c r="D644" s="379"/>
    </row>
    <row r="645" ht="12.75" customHeight="1">
      <c r="D645" s="379"/>
    </row>
    <row r="646" ht="12.75" customHeight="1">
      <c r="D646" s="379"/>
    </row>
    <row r="647" ht="12.75" customHeight="1">
      <c r="D647" s="379"/>
    </row>
    <row r="648" ht="12.75" customHeight="1">
      <c r="D648" s="379"/>
    </row>
    <row r="649" ht="12.75" customHeight="1">
      <c r="D649" s="379"/>
    </row>
    <row r="650" ht="12.75" customHeight="1">
      <c r="D650" s="379"/>
    </row>
    <row r="651" ht="12.75" customHeight="1">
      <c r="D651" s="379"/>
    </row>
    <row r="652" ht="12.75" customHeight="1">
      <c r="D652" s="379"/>
    </row>
    <row r="653" ht="12.75" customHeight="1">
      <c r="D653" s="379"/>
    </row>
    <row r="654" ht="12.75" customHeight="1">
      <c r="D654" s="379"/>
    </row>
    <row r="655" ht="12.75" customHeight="1">
      <c r="D655" s="379"/>
    </row>
    <row r="656" ht="12.75" customHeight="1">
      <c r="D656" s="379"/>
    </row>
    <row r="657" ht="12.75" customHeight="1">
      <c r="D657" s="379"/>
    </row>
    <row r="658" ht="12.75" customHeight="1">
      <c r="D658" s="379"/>
    </row>
    <row r="659" ht="12.75" customHeight="1">
      <c r="D659" s="379"/>
    </row>
    <row r="660" ht="12.75" customHeight="1">
      <c r="D660" s="379"/>
    </row>
    <row r="661" ht="12.75" customHeight="1">
      <c r="D661" s="379"/>
    </row>
    <row r="662" ht="12.75" customHeight="1">
      <c r="D662" s="379"/>
    </row>
    <row r="663" ht="12.75" customHeight="1">
      <c r="D663" s="379"/>
    </row>
    <row r="664" ht="12.75" customHeight="1">
      <c r="D664" s="379"/>
    </row>
    <row r="665" ht="12.75" customHeight="1">
      <c r="D665" s="379"/>
    </row>
    <row r="666" ht="12.75" customHeight="1">
      <c r="D666" s="379"/>
    </row>
    <row r="667" ht="12.75" customHeight="1">
      <c r="D667" s="379"/>
    </row>
    <row r="668" ht="12.75" customHeight="1">
      <c r="D668" s="379"/>
    </row>
    <row r="669" ht="12.75" customHeight="1">
      <c r="D669" s="379"/>
    </row>
    <row r="670" ht="12.75" customHeight="1">
      <c r="D670" s="379"/>
    </row>
    <row r="671" ht="12.75" customHeight="1">
      <c r="D671" s="379"/>
    </row>
    <row r="672" ht="12.75" customHeight="1">
      <c r="D672" s="379"/>
    </row>
    <row r="673" ht="12.75" customHeight="1">
      <c r="D673" s="379"/>
    </row>
    <row r="674" ht="12.75" customHeight="1">
      <c r="D674" s="379"/>
    </row>
    <row r="675" ht="12.75" customHeight="1">
      <c r="D675" s="379"/>
    </row>
    <row r="676" ht="12.75" customHeight="1">
      <c r="D676" s="379"/>
    </row>
    <row r="677" ht="12.75" customHeight="1">
      <c r="D677" s="379"/>
    </row>
    <row r="678" ht="12.75" customHeight="1">
      <c r="D678" s="379"/>
    </row>
    <row r="679" ht="12.75" customHeight="1">
      <c r="D679" s="379"/>
    </row>
    <row r="680" ht="12.75" customHeight="1">
      <c r="D680" s="379"/>
    </row>
    <row r="681" ht="12.75" customHeight="1">
      <c r="D681" s="379"/>
    </row>
    <row r="682" ht="12.75" customHeight="1">
      <c r="D682" s="379"/>
    </row>
    <row r="683" ht="12.75" customHeight="1">
      <c r="D683" s="379"/>
    </row>
    <row r="684" ht="12.75" customHeight="1">
      <c r="D684" s="379"/>
    </row>
    <row r="685" ht="12.75" customHeight="1">
      <c r="D685" s="379"/>
    </row>
    <row r="686" ht="12.75" customHeight="1">
      <c r="D686" s="379"/>
    </row>
    <row r="687" ht="12.75" customHeight="1">
      <c r="D687" s="379"/>
    </row>
    <row r="688" ht="12.75" customHeight="1">
      <c r="D688" s="379"/>
    </row>
    <row r="689" ht="12.75" customHeight="1">
      <c r="D689" s="379"/>
    </row>
    <row r="690" ht="12.75" customHeight="1">
      <c r="D690" s="379"/>
    </row>
    <row r="691" ht="12.75" customHeight="1">
      <c r="D691" s="379"/>
    </row>
    <row r="692" ht="12.75" customHeight="1">
      <c r="D692" s="379"/>
    </row>
    <row r="693" ht="12.75" customHeight="1">
      <c r="D693" s="379"/>
    </row>
    <row r="694" ht="12.75" customHeight="1">
      <c r="D694" s="379"/>
    </row>
    <row r="695" ht="12.75" customHeight="1">
      <c r="D695" s="379"/>
    </row>
    <row r="696" ht="12.75" customHeight="1">
      <c r="D696" s="379"/>
    </row>
    <row r="697" ht="12.75" customHeight="1">
      <c r="D697" s="379"/>
    </row>
    <row r="698" ht="12.75" customHeight="1">
      <c r="D698" s="379"/>
    </row>
    <row r="699" ht="12.75" customHeight="1">
      <c r="D699" s="379"/>
    </row>
    <row r="700" ht="12.75" customHeight="1">
      <c r="D700" s="379"/>
    </row>
    <row r="701" ht="12.75" customHeight="1">
      <c r="D701" s="379"/>
    </row>
    <row r="702" ht="12.75" customHeight="1">
      <c r="D702" s="379"/>
    </row>
    <row r="703" ht="12.75" customHeight="1">
      <c r="D703" s="379"/>
    </row>
    <row r="704" ht="12.75" customHeight="1">
      <c r="D704" s="379"/>
    </row>
    <row r="705" ht="12.75" customHeight="1">
      <c r="D705" s="379"/>
    </row>
    <row r="706" ht="12.75" customHeight="1">
      <c r="D706" s="379"/>
    </row>
    <row r="707" ht="12.75" customHeight="1">
      <c r="D707" s="379"/>
    </row>
    <row r="708" ht="12.75" customHeight="1">
      <c r="D708" s="379"/>
    </row>
    <row r="709" ht="12.75" customHeight="1">
      <c r="D709" s="379"/>
    </row>
    <row r="710" ht="12.75" customHeight="1">
      <c r="D710" s="379"/>
    </row>
    <row r="711" ht="12.75" customHeight="1">
      <c r="D711" s="379"/>
    </row>
    <row r="712" ht="12.75" customHeight="1">
      <c r="D712" s="379"/>
    </row>
    <row r="713" ht="12.75" customHeight="1">
      <c r="D713" s="379"/>
    </row>
    <row r="714" ht="12.75" customHeight="1">
      <c r="D714" s="379"/>
    </row>
    <row r="715" ht="12.75" customHeight="1">
      <c r="D715" s="379"/>
    </row>
    <row r="716" ht="12.75" customHeight="1">
      <c r="D716" s="379"/>
    </row>
    <row r="717" ht="12.75" customHeight="1">
      <c r="D717" s="379"/>
    </row>
    <row r="718" ht="12.75" customHeight="1">
      <c r="D718" s="379"/>
    </row>
    <row r="719" ht="12.75" customHeight="1">
      <c r="D719" s="379"/>
    </row>
    <row r="720" ht="12.75" customHeight="1">
      <c r="D720" s="379"/>
    </row>
    <row r="721" ht="12.75" customHeight="1">
      <c r="D721" s="379"/>
    </row>
    <row r="722" ht="12.75" customHeight="1">
      <c r="D722" s="379"/>
    </row>
    <row r="723" ht="12.75" customHeight="1">
      <c r="D723" s="379"/>
    </row>
    <row r="724" ht="12.75" customHeight="1">
      <c r="D724" s="379"/>
    </row>
    <row r="725" ht="12.75" customHeight="1">
      <c r="D725" s="379"/>
    </row>
    <row r="726" ht="12.75" customHeight="1">
      <c r="D726" s="379"/>
    </row>
    <row r="727" ht="12.75" customHeight="1">
      <c r="D727" s="379"/>
    </row>
    <row r="728" ht="12.75" customHeight="1">
      <c r="D728" s="379"/>
    </row>
    <row r="729" ht="12.75" customHeight="1">
      <c r="D729" s="379"/>
    </row>
    <row r="730" ht="12.75" customHeight="1">
      <c r="D730" s="379"/>
    </row>
    <row r="731" ht="12.75" customHeight="1">
      <c r="D731" s="379"/>
    </row>
    <row r="732" ht="12.75" customHeight="1">
      <c r="D732" s="379"/>
    </row>
    <row r="733" ht="12.75" customHeight="1">
      <c r="D733" s="379"/>
    </row>
    <row r="734" ht="12.75" customHeight="1">
      <c r="D734" s="379"/>
    </row>
    <row r="735" ht="12.75" customHeight="1">
      <c r="D735" s="379"/>
    </row>
    <row r="736" ht="12.75" customHeight="1">
      <c r="D736" s="379"/>
    </row>
    <row r="737" ht="12.75" customHeight="1">
      <c r="D737" s="379"/>
    </row>
    <row r="738" ht="12.75" customHeight="1">
      <c r="D738" s="379"/>
    </row>
    <row r="739" ht="12.75" customHeight="1">
      <c r="D739" s="379"/>
    </row>
    <row r="740" ht="12.75" customHeight="1">
      <c r="D740" s="379"/>
    </row>
    <row r="741" ht="12.75" customHeight="1">
      <c r="D741" s="379"/>
    </row>
    <row r="742" ht="12.75" customHeight="1">
      <c r="D742" s="379"/>
    </row>
    <row r="743" ht="12.75" customHeight="1">
      <c r="D743" s="379"/>
    </row>
    <row r="744" ht="12.75" customHeight="1">
      <c r="D744" s="379"/>
    </row>
    <row r="745" ht="12.75" customHeight="1">
      <c r="D745" s="379"/>
    </row>
    <row r="746" ht="12.75" customHeight="1">
      <c r="D746" s="379"/>
    </row>
    <row r="747" ht="12.75" customHeight="1">
      <c r="D747" s="379"/>
    </row>
    <row r="748" ht="12.75" customHeight="1">
      <c r="D748" s="379"/>
    </row>
    <row r="749" ht="12.75" customHeight="1">
      <c r="D749" s="379"/>
    </row>
    <row r="750" ht="12.75" customHeight="1">
      <c r="D750" s="379"/>
    </row>
    <row r="751" ht="12.75" customHeight="1">
      <c r="D751" s="379"/>
    </row>
    <row r="752" ht="12.75" customHeight="1">
      <c r="D752" s="379"/>
    </row>
    <row r="753" ht="12.75" customHeight="1">
      <c r="D753" s="379"/>
    </row>
    <row r="754" ht="12.75" customHeight="1">
      <c r="D754" s="379"/>
    </row>
    <row r="755" ht="12.75" customHeight="1">
      <c r="D755" s="379"/>
    </row>
    <row r="756" ht="12.75" customHeight="1">
      <c r="D756" s="379"/>
    </row>
    <row r="757" ht="12.75" customHeight="1">
      <c r="D757" s="379"/>
    </row>
    <row r="758" ht="12.75" customHeight="1">
      <c r="D758" s="379"/>
    </row>
    <row r="759" ht="12.75" customHeight="1">
      <c r="D759" s="379"/>
    </row>
    <row r="760" ht="12.75" customHeight="1">
      <c r="D760" s="379"/>
    </row>
    <row r="761" ht="12.75" customHeight="1">
      <c r="D761" s="379"/>
    </row>
    <row r="762" ht="12.75" customHeight="1">
      <c r="D762" s="379"/>
    </row>
    <row r="763" ht="12.75" customHeight="1">
      <c r="D763" s="379"/>
    </row>
    <row r="764" ht="12.75" customHeight="1">
      <c r="D764" s="379"/>
    </row>
    <row r="765" ht="12.75" customHeight="1">
      <c r="D765" s="379"/>
    </row>
    <row r="766" ht="12.75" customHeight="1">
      <c r="D766" s="379"/>
    </row>
    <row r="767" ht="12.75" customHeight="1">
      <c r="D767" s="379"/>
    </row>
    <row r="768" ht="12.75" customHeight="1">
      <c r="D768" s="379"/>
    </row>
    <row r="769" ht="12.75" customHeight="1">
      <c r="D769" s="379"/>
    </row>
    <row r="770" ht="12.75" customHeight="1">
      <c r="D770" s="379"/>
    </row>
    <row r="771" ht="12.75" customHeight="1">
      <c r="D771" s="379"/>
    </row>
    <row r="772" ht="12.75" customHeight="1">
      <c r="D772" s="379"/>
    </row>
    <row r="773" ht="12.75" customHeight="1">
      <c r="D773" s="379"/>
    </row>
    <row r="774" ht="12.75" customHeight="1">
      <c r="D774" s="379"/>
    </row>
    <row r="775" ht="12.75" customHeight="1">
      <c r="D775" s="379"/>
    </row>
    <row r="776" ht="12.75" customHeight="1">
      <c r="D776" s="379"/>
    </row>
    <row r="777" ht="12.75" customHeight="1">
      <c r="D777" s="379"/>
    </row>
    <row r="778" ht="12.75" customHeight="1">
      <c r="D778" s="379"/>
    </row>
    <row r="779" ht="12.75" customHeight="1">
      <c r="D779" s="379"/>
    </row>
    <row r="780" ht="12.75" customHeight="1">
      <c r="D780" s="379"/>
    </row>
    <row r="781" ht="12.75" customHeight="1">
      <c r="D781" s="379"/>
    </row>
    <row r="782" ht="12.75" customHeight="1">
      <c r="D782" s="379"/>
    </row>
    <row r="783" ht="12.75" customHeight="1">
      <c r="D783" s="379"/>
    </row>
    <row r="784" ht="12.75" customHeight="1">
      <c r="D784" s="379"/>
    </row>
    <row r="785" ht="12.75" customHeight="1">
      <c r="D785" s="379"/>
    </row>
    <row r="786" ht="12.75" customHeight="1">
      <c r="D786" s="379"/>
    </row>
    <row r="787" ht="12.75" customHeight="1">
      <c r="D787" s="379"/>
    </row>
    <row r="788" ht="12.75" customHeight="1">
      <c r="D788" s="379"/>
    </row>
    <row r="789" ht="12.75" customHeight="1">
      <c r="D789" s="379"/>
    </row>
    <row r="790" ht="12.75" customHeight="1">
      <c r="D790" s="379"/>
    </row>
    <row r="791" ht="12.75" customHeight="1">
      <c r="D791" s="379"/>
    </row>
    <row r="792" ht="12.75" customHeight="1">
      <c r="D792" s="379"/>
    </row>
    <row r="793" ht="12.75" customHeight="1">
      <c r="D793" s="379"/>
    </row>
    <row r="794" ht="12.75" customHeight="1">
      <c r="D794" s="379"/>
    </row>
    <row r="795" ht="12.75" customHeight="1">
      <c r="D795" s="379"/>
    </row>
    <row r="796" ht="12.75" customHeight="1">
      <c r="D796" s="379"/>
    </row>
    <row r="797" ht="12.75" customHeight="1">
      <c r="D797" s="379"/>
    </row>
    <row r="798" ht="12.75" customHeight="1">
      <c r="D798" s="379"/>
    </row>
    <row r="799" ht="12.75" customHeight="1">
      <c r="D799" s="379"/>
    </row>
    <row r="800" ht="12.75" customHeight="1">
      <c r="D800" s="379"/>
    </row>
    <row r="801" ht="12.75" customHeight="1">
      <c r="D801" s="379"/>
    </row>
    <row r="802" ht="12.75" customHeight="1">
      <c r="D802" s="379"/>
    </row>
    <row r="803" ht="12.75" customHeight="1">
      <c r="D803" s="379"/>
    </row>
    <row r="804" ht="12.75" customHeight="1">
      <c r="D804" s="379"/>
    </row>
    <row r="805" ht="12.75" customHeight="1">
      <c r="D805" s="379"/>
    </row>
    <row r="806" ht="12.75" customHeight="1">
      <c r="D806" s="379"/>
    </row>
    <row r="807" ht="12.75" customHeight="1">
      <c r="D807" s="379"/>
    </row>
    <row r="808" ht="12.75" customHeight="1">
      <c r="D808" s="379"/>
    </row>
    <row r="809" ht="12.75" customHeight="1">
      <c r="D809" s="379"/>
    </row>
    <row r="810" ht="12.75" customHeight="1">
      <c r="D810" s="379"/>
    </row>
    <row r="811" ht="12.75" customHeight="1">
      <c r="D811" s="379"/>
    </row>
    <row r="812" ht="12.75" customHeight="1">
      <c r="D812" s="379"/>
    </row>
    <row r="813" ht="12.75" customHeight="1">
      <c r="D813" s="379"/>
    </row>
    <row r="814" ht="12.75" customHeight="1">
      <c r="D814" s="379"/>
    </row>
    <row r="815" ht="12.75" customHeight="1">
      <c r="D815" s="379"/>
    </row>
    <row r="816" ht="12.75" customHeight="1">
      <c r="D816" s="379"/>
    </row>
    <row r="817" ht="12.75" customHeight="1">
      <c r="D817" s="379"/>
    </row>
    <row r="818" ht="12.75" customHeight="1">
      <c r="D818" s="379"/>
    </row>
    <row r="819" ht="12.75" customHeight="1">
      <c r="D819" s="379"/>
    </row>
    <row r="820" ht="12.75" customHeight="1">
      <c r="D820" s="379"/>
    </row>
    <row r="821" ht="12.75" customHeight="1">
      <c r="D821" s="379"/>
    </row>
    <row r="822" ht="12.75" customHeight="1">
      <c r="D822" s="379"/>
    </row>
    <row r="823" ht="12.75" customHeight="1">
      <c r="D823" s="379"/>
    </row>
    <row r="824" ht="12.75" customHeight="1">
      <c r="D824" s="379"/>
    </row>
    <row r="825" ht="12.75" customHeight="1">
      <c r="D825" s="379"/>
    </row>
    <row r="826" ht="12.75" customHeight="1">
      <c r="D826" s="379"/>
    </row>
    <row r="827" ht="12.75" customHeight="1">
      <c r="D827" s="379"/>
    </row>
    <row r="828" ht="12.75" customHeight="1">
      <c r="D828" s="379"/>
    </row>
    <row r="829" ht="12.75" customHeight="1">
      <c r="D829" s="379"/>
    </row>
    <row r="830" ht="12.75" customHeight="1">
      <c r="D830" s="379"/>
    </row>
    <row r="831" ht="12.75" customHeight="1">
      <c r="D831" s="379"/>
    </row>
    <row r="832" ht="12.75" customHeight="1">
      <c r="D832" s="379"/>
    </row>
    <row r="833" ht="12.75" customHeight="1">
      <c r="D833" s="379"/>
    </row>
    <row r="834" ht="12.75" customHeight="1">
      <c r="D834" s="379"/>
    </row>
    <row r="835" ht="12.75" customHeight="1">
      <c r="D835" s="379"/>
    </row>
    <row r="836" ht="12.75" customHeight="1">
      <c r="D836" s="379"/>
    </row>
    <row r="837" ht="12.75" customHeight="1">
      <c r="D837" s="379"/>
    </row>
    <row r="838" ht="12.75" customHeight="1">
      <c r="D838" s="379"/>
    </row>
    <row r="839" ht="12.75" customHeight="1">
      <c r="D839" s="379"/>
    </row>
    <row r="840" ht="12.75" customHeight="1">
      <c r="D840" s="379"/>
    </row>
    <row r="841" ht="12.75" customHeight="1">
      <c r="D841" s="379"/>
    </row>
    <row r="842" ht="12.75" customHeight="1">
      <c r="D842" s="379"/>
    </row>
    <row r="843" ht="12.75" customHeight="1">
      <c r="D843" s="379"/>
    </row>
    <row r="844" ht="12.75" customHeight="1">
      <c r="D844" s="379"/>
    </row>
    <row r="845" ht="12.75" customHeight="1">
      <c r="D845" s="379"/>
    </row>
    <row r="846" ht="12.75" customHeight="1">
      <c r="D846" s="379"/>
    </row>
    <row r="847" ht="12.75" customHeight="1">
      <c r="D847" s="379"/>
    </row>
    <row r="848" ht="12.75" customHeight="1">
      <c r="D848" s="379"/>
    </row>
    <row r="849" ht="12.75" customHeight="1">
      <c r="D849" s="379"/>
    </row>
    <row r="850" ht="12.75" customHeight="1">
      <c r="D850" s="379"/>
    </row>
    <row r="851" ht="12.75" customHeight="1">
      <c r="D851" s="379"/>
    </row>
    <row r="852" ht="12.75" customHeight="1">
      <c r="D852" s="379"/>
    </row>
    <row r="853" ht="12.75" customHeight="1">
      <c r="D853" s="379"/>
    </row>
    <row r="854" ht="12.75" customHeight="1">
      <c r="D854" s="379"/>
    </row>
    <row r="855" ht="12.75" customHeight="1">
      <c r="D855" s="379"/>
    </row>
    <row r="856" ht="12.75" customHeight="1">
      <c r="D856" s="379"/>
    </row>
    <row r="857" ht="12.75" customHeight="1">
      <c r="D857" s="379"/>
    </row>
    <row r="858" ht="12.75" customHeight="1">
      <c r="D858" s="379"/>
    </row>
    <row r="859" ht="12.75" customHeight="1">
      <c r="D859" s="379"/>
    </row>
    <row r="860" ht="12.75" customHeight="1">
      <c r="D860" s="379"/>
    </row>
    <row r="861" ht="12.75" customHeight="1">
      <c r="D861" s="379"/>
    </row>
    <row r="862" ht="12.75" customHeight="1">
      <c r="D862" s="379"/>
    </row>
    <row r="863" ht="12.75" customHeight="1">
      <c r="D863" s="379"/>
    </row>
    <row r="864" ht="12.75" customHeight="1">
      <c r="D864" s="379"/>
    </row>
    <row r="865" ht="12.75" customHeight="1">
      <c r="D865" s="379"/>
    </row>
    <row r="866" ht="12.75" customHeight="1">
      <c r="D866" s="379"/>
    </row>
    <row r="867" ht="12.75" customHeight="1">
      <c r="D867" s="379"/>
    </row>
    <row r="868" ht="12.75" customHeight="1">
      <c r="D868" s="379"/>
    </row>
    <row r="869" ht="12.75" customHeight="1">
      <c r="D869" s="379"/>
    </row>
    <row r="870" ht="12.75" customHeight="1">
      <c r="D870" s="379"/>
    </row>
    <row r="871" ht="12.75" customHeight="1">
      <c r="D871" s="379"/>
    </row>
    <row r="872" ht="12.75" customHeight="1">
      <c r="D872" s="379"/>
    </row>
    <row r="873" ht="12.75" customHeight="1">
      <c r="D873" s="379"/>
    </row>
    <row r="874" ht="12.75" customHeight="1">
      <c r="D874" s="379"/>
    </row>
    <row r="875" ht="12.75" customHeight="1">
      <c r="D875" s="379"/>
    </row>
    <row r="876" ht="12.75" customHeight="1">
      <c r="D876" s="379"/>
    </row>
    <row r="877" ht="12.75" customHeight="1">
      <c r="D877" s="379"/>
    </row>
    <row r="878" ht="12.75" customHeight="1">
      <c r="D878" s="379"/>
    </row>
    <row r="879" ht="12.75" customHeight="1">
      <c r="D879" s="379"/>
    </row>
    <row r="880" ht="12.75" customHeight="1">
      <c r="D880" s="379"/>
    </row>
    <row r="881" ht="12.75" customHeight="1">
      <c r="D881" s="379"/>
    </row>
    <row r="882" ht="12.75" customHeight="1">
      <c r="D882" s="379"/>
    </row>
    <row r="883" ht="12.75" customHeight="1">
      <c r="D883" s="379"/>
    </row>
    <row r="884" ht="12.75" customHeight="1">
      <c r="D884" s="379"/>
    </row>
    <row r="885" ht="12.75" customHeight="1">
      <c r="D885" s="379"/>
    </row>
    <row r="886" ht="12.75" customHeight="1">
      <c r="D886" s="379"/>
    </row>
    <row r="887" ht="12.75" customHeight="1">
      <c r="D887" s="379"/>
    </row>
    <row r="888" ht="12.75" customHeight="1">
      <c r="D888" s="379"/>
    </row>
    <row r="889" ht="12.75" customHeight="1">
      <c r="D889" s="379"/>
    </row>
    <row r="890" ht="12.75" customHeight="1">
      <c r="D890" s="379"/>
    </row>
    <row r="891" ht="12.75" customHeight="1">
      <c r="D891" s="379"/>
    </row>
    <row r="892" ht="12.75" customHeight="1">
      <c r="D892" s="379"/>
    </row>
    <row r="893" ht="12.75" customHeight="1">
      <c r="D893" s="379"/>
    </row>
    <row r="894" ht="12.75" customHeight="1">
      <c r="D894" s="379"/>
    </row>
    <row r="895" ht="12.75" customHeight="1">
      <c r="D895" s="379"/>
    </row>
    <row r="896" ht="12.75" customHeight="1">
      <c r="D896" s="379"/>
    </row>
    <row r="897" ht="12.75" customHeight="1">
      <c r="D897" s="379"/>
    </row>
    <row r="898" ht="12.75" customHeight="1">
      <c r="D898" s="379"/>
    </row>
    <row r="899" ht="12.75" customHeight="1">
      <c r="D899" s="379"/>
    </row>
    <row r="900" ht="12.75" customHeight="1">
      <c r="D900" s="379"/>
    </row>
    <row r="901" ht="12.75" customHeight="1">
      <c r="D901" s="379"/>
    </row>
    <row r="902" ht="12.75" customHeight="1">
      <c r="D902" s="379"/>
    </row>
    <row r="903" ht="12.75" customHeight="1">
      <c r="D903" s="379"/>
    </row>
    <row r="904" ht="12.75" customHeight="1">
      <c r="D904" s="379"/>
    </row>
    <row r="905" ht="12.75" customHeight="1">
      <c r="D905" s="379"/>
    </row>
    <row r="906" ht="12.75" customHeight="1">
      <c r="D906" s="379"/>
    </row>
    <row r="907" ht="12.75" customHeight="1">
      <c r="D907" s="379"/>
    </row>
    <row r="908" ht="12.75" customHeight="1">
      <c r="D908" s="379"/>
    </row>
    <row r="909" ht="12.75" customHeight="1">
      <c r="D909" s="379"/>
    </row>
    <row r="910" ht="12.75" customHeight="1">
      <c r="D910" s="379"/>
    </row>
    <row r="911" ht="12.75" customHeight="1">
      <c r="D911" s="379"/>
    </row>
    <row r="912" ht="12.75" customHeight="1">
      <c r="D912" s="379"/>
    </row>
    <row r="913" ht="12.75" customHeight="1">
      <c r="D913" s="379"/>
    </row>
    <row r="914" ht="12.75" customHeight="1">
      <c r="D914" s="379"/>
    </row>
    <row r="915" ht="12.75" customHeight="1">
      <c r="D915" s="379"/>
    </row>
    <row r="916" ht="12.75" customHeight="1">
      <c r="D916" s="379"/>
    </row>
    <row r="917" ht="12.75" customHeight="1">
      <c r="D917" s="379"/>
    </row>
    <row r="918" ht="12.75" customHeight="1">
      <c r="D918" s="379"/>
    </row>
    <row r="919" ht="12.75" customHeight="1">
      <c r="D919" s="379"/>
    </row>
    <row r="920" ht="12.75" customHeight="1">
      <c r="D920" s="379"/>
    </row>
    <row r="921" ht="12.75" customHeight="1">
      <c r="D921" s="379"/>
    </row>
    <row r="922" ht="12.75" customHeight="1">
      <c r="D922" s="379"/>
    </row>
    <row r="923" ht="12.75" customHeight="1">
      <c r="D923" s="379"/>
    </row>
    <row r="924" ht="12.75" customHeight="1">
      <c r="D924" s="379"/>
    </row>
    <row r="925" ht="12.75" customHeight="1">
      <c r="D925" s="379"/>
    </row>
    <row r="926" ht="12.75" customHeight="1">
      <c r="D926" s="379"/>
    </row>
    <row r="927" ht="12.75" customHeight="1">
      <c r="D927" s="379"/>
    </row>
    <row r="928" ht="12.75" customHeight="1">
      <c r="D928" s="379"/>
    </row>
    <row r="929" ht="12.75" customHeight="1">
      <c r="D929" s="379"/>
    </row>
    <row r="930" ht="12.75" customHeight="1">
      <c r="D930" s="379"/>
    </row>
    <row r="931" ht="12.75" customHeight="1">
      <c r="D931" s="379"/>
    </row>
    <row r="932" ht="12.75" customHeight="1">
      <c r="D932" s="379"/>
    </row>
    <row r="933" ht="12.75" customHeight="1">
      <c r="D933" s="379"/>
    </row>
    <row r="934" ht="12.75" customHeight="1">
      <c r="D934" s="379"/>
    </row>
    <row r="935" ht="12.75" customHeight="1">
      <c r="D935" s="379"/>
    </row>
    <row r="936" ht="12.75" customHeight="1">
      <c r="D936" s="379"/>
    </row>
    <row r="937" ht="12.75" customHeight="1">
      <c r="D937" s="379"/>
    </row>
    <row r="938" ht="12.75" customHeight="1">
      <c r="D938" s="379"/>
    </row>
    <row r="939" ht="12.75" customHeight="1">
      <c r="D939" s="379"/>
    </row>
    <row r="940" ht="12.75" customHeight="1">
      <c r="D940" s="379"/>
    </row>
    <row r="941" ht="12.75" customHeight="1">
      <c r="D941" s="379"/>
    </row>
    <row r="942" ht="12.75" customHeight="1">
      <c r="D942" s="379"/>
    </row>
    <row r="943" ht="12.75" customHeight="1">
      <c r="D943" s="379"/>
    </row>
    <row r="944" ht="12.75" customHeight="1">
      <c r="D944" s="379"/>
    </row>
    <row r="945" ht="12.75" customHeight="1">
      <c r="D945" s="379"/>
    </row>
    <row r="946" ht="12.75" customHeight="1">
      <c r="D946" s="379"/>
    </row>
    <row r="947" ht="12.75" customHeight="1">
      <c r="D947" s="379"/>
    </row>
    <row r="948" ht="12.75" customHeight="1">
      <c r="D948" s="379"/>
    </row>
    <row r="949" ht="12.75" customHeight="1">
      <c r="D949" s="379"/>
    </row>
    <row r="950" ht="12.75" customHeight="1">
      <c r="D950" s="379"/>
    </row>
    <row r="951" ht="12.75" customHeight="1">
      <c r="D951" s="379"/>
    </row>
    <row r="952" ht="12.75" customHeight="1">
      <c r="D952" s="379"/>
    </row>
    <row r="953" ht="12.75" customHeight="1">
      <c r="D953" s="379"/>
    </row>
    <row r="954" ht="12.75" customHeight="1">
      <c r="D954" s="379"/>
    </row>
    <row r="955" ht="12.75" customHeight="1">
      <c r="D955" s="379"/>
    </row>
    <row r="956" ht="12.75" customHeight="1">
      <c r="D956" s="379"/>
    </row>
    <row r="957" ht="12.75" customHeight="1">
      <c r="D957" s="379"/>
    </row>
    <row r="958" ht="12.75" customHeight="1">
      <c r="D958" s="379"/>
    </row>
    <row r="959" ht="12.75" customHeight="1">
      <c r="D959" s="379"/>
    </row>
    <row r="960" ht="12.75" customHeight="1">
      <c r="D960" s="379"/>
    </row>
    <row r="961" ht="12.75" customHeight="1">
      <c r="D961" s="379"/>
    </row>
    <row r="962" ht="12.75" customHeight="1">
      <c r="D962" s="379"/>
    </row>
    <row r="963" ht="12.75" customHeight="1">
      <c r="D963" s="379"/>
    </row>
    <row r="964" ht="12.75" customHeight="1">
      <c r="D964" s="379"/>
    </row>
    <row r="965" ht="12.75" customHeight="1">
      <c r="D965" s="379"/>
    </row>
    <row r="966" ht="12.75" customHeight="1">
      <c r="D966" s="379"/>
    </row>
    <row r="967" ht="12.75" customHeight="1">
      <c r="D967" s="379"/>
    </row>
    <row r="968" ht="12.75" customHeight="1">
      <c r="D968" s="379"/>
    </row>
    <row r="969" ht="12.75" customHeight="1">
      <c r="D969" s="379"/>
    </row>
    <row r="970" ht="12.75" customHeight="1">
      <c r="D970" s="379"/>
    </row>
    <row r="971" ht="12.75" customHeight="1">
      <c r="D971" s="379"/>
    </row>
    <row r="972" ht="12.75" customHeight="1">
      <c r="D972" s="379"/>
    </row>
    <row r="973" ht="12.75" customHeight="1">
      <c r="D973" s="379"/>
    </row>
    <row r="974" ht="12.75" customHeight="1">
      <c r="D974" s="379"/>
    </row>
    <row r="975" ht="12.75" customHeight="1">
      <c r="D975" s="379"/>
    </row>
    <row r="976" ht="12.75" customHeight="1">
      <c r="D976" s="379"/>
    </row>
    <row r="977" ht="12.75" customHeight="1">
      <c r="D977" s="379"/>
    </row>
    <row r="978" ht="12.75" customHeight="1">
      <c r="D978" s="379"/>
    </row>
    <row r="979" ht="12.75" customHeight="1">
      <c r="D979" s="379"/>
    </row>
    <row r="980" ht="12.75" customHeight="1">
      <c r="D980" s="379"/>
    </row>
    <row r="981" ht="12.75" customHeight="1">
      <c r="D981" s="379"/>
    </row>
    <row r="982" ht="12.75" customHeight="1">
      <c r="D982" s="379"/>
    </row>
    <row r="983" ht="12.75" customHeight="1">
      <c r="D983" s="379"/>
    </row>
    <row r="984" ht="12.75" customHeight="1">
      <c r="D984" s="379"/>
    </row>
    <row r="985" ht="12.75" customHeight="1">
      <c r="D985" s="379"/>
    </row>
    <row r="986" ht="12.75" customHeight="1">
      <c r="D986" s="379"/>
    </row>
    <row r="987" ht="12.75" customHeight="1">
      <c r="D987" s="379"/>
    </row>
    <row r="988" ht="12.75" customHeight="1">
      <c r="D988" s="379"/>
    </row>
    <row r="989" ht="12.75" customHeight="1">
      <c r="D989" s="379"/>
    </row>
    <row r="990" ht="12.75" customHeight="1">
      <c r="D990" s="379"/>
    </row>
    <row r="991" ht="12.75" customHeight="1">
      <c r="D991" s="379"/>
    </row>
    <row r="992" ht="12.75" customHeight="1">
      <c r="D992" s="379"/>
    </row>
    <row r="993" ht="12.75" customHeight="1">
      <c r="D993" s="379"/>
    </row>
    <row r="994" ht="12.75" customHeight="1">
      <c r="D994" s="379"/>
    </row>
    <row r="995" ht="12.75" customHeight="1">
      <c r="D995" s="379"/>
    </row>
    <row r="996" ht="12.75" customHeight="1">
      <c r="D996" s="379"/>
    </row>
    <row r="997" ht="12.75" customHeight="1">
      <c r="D997" s="379"/>
    </row>
    <row r="998" ht="12.75" customHeight="1">
      <c r="D998" s="379"/>
    </row>
    <row r="999" ht="12.75" customHeight="1">
      <c r="D999" s="379"/>
    </row>
    <row r="1000" ht="12.75" customHeight="1">
      <c r="D1000" s="379"/>
    </row>
    <row r="1001" ht="12.75" customHeight="1">
      <c r="D1001" s="379"/>
    </row>
    <row r="1002" ht="12.75" customHeight="1">
      <c r="D1002" s="379"/>
    </row>
    <row r="1003" ht="12.75" customHeight="1">
      <c r="D1003" s="379"/>
    </row>
    <row r="1004" ht="12.75" customHeight="1">
      <c r="D1004" s="379"/>
    </row>
    <row r="1005" ht="12.75" customHeight="1">
      <c r="D1005" s="379"/>
    </row>
    <row r="1006" ht="12.75" customHeight="1">
      <c r="D1006" s="379"/>
    </row>
    <row r="1007" ht="12.75" customHeight="1">
      <c r="D1007" s="379"/>
    </row>
    <row r="1008" ht="12.75" customHeight="1">
      <c r="D1008" s="379"/>
    </row>
    <row r="1009" ht="12.75" customHeight="1">
      <c r="D1009" s="379"/>
    </row>
    <row r="1010" ht="12.75" customHeight="1">
      <c r="D1010" s="379"/>
    </row>
    <row r="1011" ht="12.75" customHeight="1">
      <c r="D1011" s="379"/>
    </row>
    <row r="1012" ht="12.75" customHeight="1">
      <c r="D1012" s="379"/>
    </row>
    <row r="1013" ht="12.75" customHeight="1">
      <c r="D1013" s="379"/>
    </row>
    <row r="1014" ht="12.75" customHeight="1">
      <c r="D1014" s="379"/>
    </row>
    <row r="1015" ht="12.75" customHeight="1">
      <c r="D1015" s="379"/>
    </row>
    <row r="1016" ht="12.75" customHeight="1">
      <c r="D1016" s="379"/>
    </row>
    <row r="1017" ht="12.75" customHeight="1">
      <c r="D1017" s="379"/>
    </row>
    <row r="1018" ht="12.75" customHeight="1">
      <c r="D1018" s="379"/>
    </row>
    <row r="1019" ht="12.75" customHeight="1">
      <c r="D1019" s="379"/>
    </row>
    <row r="1020" ht="12.75" customHeight="1">
      <c r="D1020" s="379"/>
    </row>
    <row r="1021" ht="12.75" customHeight="1">
      <c r="D1021" s="379"/>
    </row>
    <row r="1022" ht="12.75" customHeight="1">
      <c r="D1022" s="379"/>
    </row>
    <row r="1023" ht="12.75" customHeight="1">
      <c r="D1023" s="379"/>
    </row>
    <row r="1024" ht="12.75" customHeight="1">
      <c r="D1024" s="379"/>
    </row>
    <row r="1025" ht="12.75" customHeight="1">
      <c r="D1025" s="379"/>
    </row>
    <row r="1026" ht="12.75" customHeight="1">
      <c r="D1026" s="379"/>
    </row>
    <row r="1027" ht="12.75" customHeight="1">
      <c r="D1027" s="379"/>
    </row>
    <row r="1028" ht="12.75" customHeight="1">
      <c r="D1028" s="379"/>
    </row>
    <row r="1029" ht="12.75" customHeight="1">
      <c r="D1029" s="379"/>
    </row>
    <row r="1030" ht="12.75" customHeight="1">
      <c r="D1030" s="379"/>
    </row>
    <row r="1031" ht="12.75" customHeight="1">
      <c r="D1031" s="379"/>
    </row>
    <row r="1032" ht="12.75" customHeight="1">
      <c r="D1032" s="379"/>
    </row>
    <row r="1033" ht="12.75" customHeight="1">
      <c r="D1033" s="379"/>
    </row>
    <row r="1034" ht="12.75" customHeight="1">
      <c r="D1034" s="379"/>
    </row>
    <row r="1035" ht="12.75" customHeight="1">
      <c r="D1035" s="379"/>
    </row>
    <row r="1036" ht="12.75" customHeight="1">
      <c r="D1036" s="379"/>
    </row>
    <row r="1037" ht="12.75" customHeight="1">
      <c r="D1037" s="379"/>
    </row>
    <row r="1038" ht="12.75" customHeight="1">
      <c r="D1038" s="379"/>
    </row>
    <row r="1039" ht="12.75" customHeight="1">
      <c r="D1039" s="379"/>
    </row>
    <row r="1040" ht="12.75" customHeight="1">
      <c r="D1040" s="379"/>
    </row>
    <row r="1041" ht="12.75" customHeight="1">
      <c r="D1041" s="379"/>
    </row>
    <row r="1042" ht="12.75" customHeight="1">
      <c r="D1042" s="379"/>
    </row>
    <row r="1043" ht="12.75" customHeight="1">
      <c r="D1043" s="379"/>
    </row>
    <row r="1044" ht="12.75" customHeight="1">
      <c r="D1044" s="379"/>
    </row>
    <row r="1045" ht="12.75" customHeight="1">
      <c r="D1045" s="379"/>
    </row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31554" ht="30" customHeight="1"/>
    <row r="31555" ht="39.75" customHeight="1"/>
    <row r="31556" ht="39.75" customHeight="1"/>
  </sheetData>
  <sheetProtection/>
  <mergeCells count="28">
    <mergeCell ref="A7:B21"/>
    <mergeCell ref="A22:A36"/>
    <mergeCell ref="B22:B36"/>
    <mergeCell ref="A37:A51"/>
    <mergeCell ref="B37:B51"/>
    <mergeCell ref="A52:A66"/>
    <mergeCell ref="B52:B66"/>
    <mergeCell ref="A67:A81"/>
    <mergeCell ref="B67:B81"/>
    <mergeCell ref="B82:B96"/>
    <mergeCell ref="A82:A96"/>
    <mergeCell ref="A97:A103"/>
    <mergeCell ref="B97:B103"/>
    <mergeCell ref="A2:A5"/>
    <mergeCell ref="B2:B5"/>
    <mergeCell ref="C2:C5"/>
    <mergeCell ref="D2:D5"/>
    <mergeCell ref="E2:E5"/>
    <mergeCell ref="F2:G4"/>
    <mergeCell ref="H2:K3"/>
    <mergeCell ref="H4:I4"/>
    <mergeCell ref="J4:K4"/>
    <mergeCell ref="L2:M4"/>
    <mergeCell ref="N2:U2"/>
    <mergeCell ref="N3:O4"/>
    <mergeCell ref="P3:Q4"/>
    <mergeCell ref="R3:S4"/>
    <mergeCell ref="T3:U4"/>
  </mergeCells>
  <printOptions horizontalCentered="1"/>
  <pageMargins left="0.1968503937007874" right="0.1968503937007874" top="0.984251968503937" bottom="0.3937007874015748" header="0.3937007874015748" footer="0.3937007874015748"/>
  <pageSetup horizontalDpi="600" verticalDpi="600" orientation="landscape" paperSize="9" r:id="rId1"/>
  <rowBreaks count="2" manualBreakCount="2">
    <brk id="40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7109375" style="565" customWidth="1"/>
    <col min="2" max="2" width="8.7109375" style="565" customWidth="1"/>
    <col min="3" max="4" width="25.7109375" style="565" customWidth="1"/>
    <col min="5" max="5" width="11.7109375" style="565" customWidth="1"/>
    <col min="6" max="6" width="20.7109375" style="565" customWidth="1"/>
    <col min="7" max="7" width="10.7109375" style="565" customWidth="1"/>
    <col min="8" max="9" width="15.7109375" style="565" customWidth="1"/>
    <col min="10" max="10" width="20.7109375" style="565" customWidth="1"/>
    <col min="11" max="11" width="8.7109375" style="565" customWidth="1"/>
    <col min="12" max="12" width="25.7109375" style="565" customWidth="1"/>
    <col min="13" max="16384" width="9.140625" style="565" customWidth="1"/>
  </cols>
  <sheetData>
    <row r="1" spans="1:11" ht="15.75">
      <c r="A1" s="627" t="s">
        <v>1246</v>
      </c>
      <c r="B1" s="627"/>
      <c r="C1" s="627"/>
      <c r="D1" s="627"/>
      <c r="E1" s="627"/>
      <c r="F1" s="627"/>
      <c r="G1" s="627"/>
      <c r="H1" s="627"/>
      <c r="I1" s="627"/>
      <c r="J1" s="5"/>
      <c r="K1" s="57" t="s">
        <v>2127</v>
      </c>
    </row>
    <row r="2" spans="1:11" s="5" customFormat="1" ht="12.75">
      <c r="A2" s="627" t="s">
        <v>1238</v>
      </c>
      <c r="B2" s="627"/>
      <c r="C2" s="627"/>
      <c r="D2" s="627"/>
      <c r="E2" s="627"/>
      <c r="F2" s="627"/>
      <c r="G2" s="627"/>
      <c r="H2" s="627"/>
      <c r="I2" s="627"/>
      <c r="J2" s="18"/>
      <c r="K2" s="18"/>
    </row>
    <row r="3" spans="2:11" s="5" customFormat="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5" customFormat="1" ht="51.75" thickBot="1">
      <c r="A4" s="560" t="s">
        <v>1096</v>
      </c>
      <c r="B4" s="11" t="s">
        <v>1271</v>
      </c>
      <c r="C4" s="12" t="s">
        <v>481</v>
      </c>
      <c r="D4" s="12" t="s">
        <v>477</v>
      </c>
      <c r="E4" s="13" t="s">
        <v>160</v>
      </c>
      <c r="F4" s="13" t="s">
        <v>1104</v>
      </c>
      <c r="G4" s="11" t="s">
        <v>1765</v>
      </c>
      <c r="H4" s="13" t="s">
        <v>1764</v>
      </c>
      <c r="I4" s="13" t="s">
        <v>159</v>
      </c>
      <c r="J4" s="11" t="s">
        <v>2321</v>
      </c>
      <c r="K4" s="560" t="s">
        <v>582</v>
      </c>
    </row>
    <row r="5" spans="1:11" s="5" customFormat="1" ht="26.25" thickTop="1">
      <c r="A5" s="3">
        <v>1</v>
      </c>
      <c r="B5" s="14" t="s">
        <v>3343</v>
      </c>
      <c r="C5" s="9" t="s">
        <v>1247</v>
      </c>
      <c r="D5" s="8" t="s">
        <v>1242</v>
      </c>
      <c r="E5" s="37">
        <v>35196.004</v>
      </c>
      <c r="F5" s="10" t="s">
        <v>3344</v>
      </c>
      <c r="G5" s="7">
        <v>35</v>
      </c>
      <c r="H5" s="7" t="s">
        <v>1244</v>
      </c>
      <c r="I5" s="4" t="s">
        <v>1245</v>
      </c>
      <c r="J5" s="15" t="s">
        <v>1243</v>
      </c>
      <c r="K5" s="7" t="s">
        <v>618</v>
      </c>
    </row>
    <row r="6" spans="1:11" s="5" customFormat="1" ht="25.5">
      <c r="A6" s="14">
        <f>A5+1</f>
        <v>2</v>
      </c>
      <c r="B6" s="14" t="s">
        <v>3345</v>
      </c>
      <c r="C6" s="9" t="s">
        <v>1247</v>
      </c>
      <c r="D6" s="8" t="s">
        <v>1249</v>
      </c>
      <c r="E6" s="37">
        <v>75055</v>
      </c>
      <c r="F6" s="7" t="s">
        <v>3346</v>
      </c>
      <c r="G6" s="7">
        <v>35</v>
      </c>
      <c r="H6" s="20" t="s">
        <v>1257</v>
      </c>
      <c r="I6" s="4" t="s">
        <v>1245</v>
      </c>
      <c r="J6" s="15" t="s">
        <v>1248</v>
      </c>
      <c r="K6" s="7" t="s">
        <v>618</v>
      </c>
    </row>
    <row r="7" spans="1:11" s="5" customFormat="1" ht="25.5">
      <c r="A7" s="14">
        <f aca="true" t="shared" si="0" ref="A7:A70">A6+1</f>
        <v>3</v>
      </c>
      <c r="B7" s="14" t="s">
        <v>3347</v>
      </c>
      <c r="C7" s="9" t="s">
        <v>1247</v>
      </c>
      <c r="D7" s="8" t="s">
        <v>1251</v>
      </c>
      <c r="E7" s="37">
        <v>1332123.388</v>
      </c>
      <c r="F7" s="7" t="s">
        <v>3348</v>
      </c>
      <c r="G7" s="7">
        <v>35</v>
      </c>
      <c r="H7" s="20" t="s">
        <v>1257</v>
      </c>
      <c r="I7" s="4" t="s">
        <v>1245</v>
      </c>
      <c r="J7" s="15" t="s">
        <v>1250</v>
      </c>
      <c r="K7" s="7" t="s">
        <v>618</v>
      </c>
    </row>
    <row r="8" spans="1:11" s="5" customFormat="1" ht="25.5">
      <c r="A8" s="14">
        <f t="shared" si="0"/>
        <v>4</v>
      </c>
      <c r="B8" s="14" t="s">
        <v>3349</v>
      </c>
      <c r="C8" s="9" t="s">
        <v>1247</v>
      </c>
      <c r="D8" s="8" t="s">
        <v>1253</v>
      </c>
      <c r="E8" s="37">
        <f>66880.873+78408.02+23477.273</f>
        <v>168766.16600000003</v>
      </c>
      <c r="F8" s="7" t="s">
        <v>3350</v>
      </c>
      <c r="G8" s="7">
        <v>35</v>
      </c>
      <c r="H8" s="20" t="s">
        <v>1257</v>
      </c>
      <c r="I8" s="4" t="s">
        <v>1245</v>
      </c>
      <c r="J8" s="15" t="s">
        <v>1252</v>
      </c>
      <c r="K8" s="7" t="s">
        <v>618</v>
      </c>
    </row>
    <row r="9" spans="1:11" s="5" customFormat="1" ht="12.75">
      <c r="A9" s="14">
        <f t="shared" si="0"/>
        <v>5</v>
      </c>
      <c r="B9" s="14" t="s">
        <v>1256</v>
      </c>
      <c r="C9" s="9" t="s">
        <v>1360</v>
      </c>
      <c r="D9" s="8" t="s">
        <v>497</v>
      </c>
      <c r="E9" s="37">
        <v>491818.5</v>
      </c>
      <c r="F9" s="10" t="s">
        <v>1255</v>
      </c>
      <c r="G9" s="7">
        <v>27</v>
      </c>
      <c r="H9" s="7" t="s">
        <v>173</v>
      </c>
      <c r="I9" s="7" t="s">
        <v>173</v>
      </c>
      <c r="J9" s="15" t="s">
        <v>1254</v>
      </c>
      <c r="K9" s="7" t="s">
        <v>612</v>
      </c>
    </row>
    <row r="10" spans="1:11" s="5" customFormat="1" ht="38.25">
      <c r="A10" s="14">
        <f t="shared" si="0"/>
        <v>6</v>
      </c>
      <c r="B10" s="14" t="s">
        <v>498</v>
      </c>
      <c r="C10" s="9" t="s">
        <v>1360</v>
      </c>
      <c r="D10" s="8" t="s">
        <v>503</v>
      </c>
      <c r="E10" s="37">
        <v>530102.5</v>
      </c>
      <c r="F10" s="10" t="s">
        <v>502</v>
      </c>
      <c r="G10" s="7">
        <v>16</v>
      </c>
      <c r="H10" s="7" t="s">
        <v>173</v>
      </c>
      <c r="I10" s="7" t="s">
        <v>173</v>
      </c>
      <c r="J10" s="15" t="s">
        <v>501</v>
      </c>
      <c r="K10" s="7" t="s">
        <v>3250</v>
      </c>
    </row>
    <row r="11" spans="1:11" s="5" customFormat="1" ht="25.5">
      <c r="A11" s="14">
        <f t="shared" si="0"/>
        <v>7</v>
      </c>
      <c r="B11" s="14" t="s">
        <v>499</v>
      </c>
      <c r="C11" s="9" t="s">
        <v>1360</v>
      </c>
      <c r="D11" s="8" t="s">
        <v>506</v>
      </c>
      <c r="E11" s="37">
        <v>85178.5</v>
      </c>
      <c r="F11" s="10" t="s">
        <v>504</v>
      </c>
      <c r="G11" s="7">
        <v>27</v>
      </c>
      <c r="H11" s="7" t="s">
        <v>173</v>
      </c>
      <c r="I11" s="7" t="s">
        <v>173</v>
      </c>
      <c r="J11" s="8" t="s">
        <v>505</v>
      </c>
      <c r="K11" s="10" t="s">
        <v>612</v>
      </c>
    </row>
    <row r="12" spans="1:11" s="5" customFormat="1" ht="38.25">
      <c r="A12" s="14">
        <f t="shared" si="0"/>
        <v>8</v>
      </c>
      <c r="B12" s="14" t="s">
        <v>500</v>
      </c>
      <c r="C12" s="9" t="s">
        <v>1360</v>
      </c>
      <c r="D12" s="8" t="s">
        <v>508</v>
      </c>
      <c r="E12" s="37">
        <v>3306544</v>
      </c>
      <c r="F12" s="10" t="s">
        <v>502</v>
      </c>
      <c r="G12" s="7">
        <v>17</v>
      </c>
      <c r="H12" s="7" t="s">
        <v>173</v>
      </c>
      <c r="I12" s="7" t="s">
        <v>173</v>
      </c>
      <c r="J12" s="15" t="s">
        <v>507</v>
      </c>
      <c r="K12" s="7" t="s">
        <v>3250</v>
      </c>
    </row>
    <row r="13" spans="1:11" s="5" customFormat="1" ht="25.5">
      <c r="A13" s="14">
        <f t="shared" si="0"/>
        <v>9</v>
      </c>
      <c r="B13" s="14" t="s">
        <v>516</v>
      </c>
      <c r="C13" s="9" t="s">
        <v>520</v>
      </c>
      <c r="D13" s="8" t="s">
        <v>519</v>
      </c>
      <c r="E13" s="37">
        <v>686542.5</v>
      </c>
      <c r="F13" s="10" t="s">
        <v>518</v>
      </c>
      <c r="G13" s="7">
        <v>35</v>
      </c>
      <c r="H13" s="7" t="s">
        <v>512</v>
      </c>
      <c r="I13" s="7" t="s">
        <v>173</v>
      </c>
      <c r="J13" s="8" t="s">
        <v>517</v>
      </c>
      <c r="K13" s="10" t="s">
        <v>3242</v>
      </c>
    </row>
    <row r="14" spans="1:11" s="5" customFormat="1" ht="25.5">
      <c r="A14" s="14">
        <f t="shared" si="0"/>
        <v>10</v>
      </c>
      <c r="B14" s="14" t="s">
        <v>522</v>
      </c>
      <c r="C14" s="9" t="s">
        <v>528</v>
      </c>
      <c r="D14" s="8" t="s">
        <v>525</v>
      </c>
      <c r="E14" s="47" t="s">
        <v>1447</v>
      </c>
      <c r="F14" s="7" t="s">
        <v>524</v>
      </c>
      <c r="G14" s="7">
        <v>30</v>
      </c>
      <c r="H14" s="7" t="s">
        <v>526</v>
      </c>
      <c r="I14" s="10" t="s">
        <v>527</v>
      </c>
      <c r="J14" s="15" t="s">
        <v>521</v>
      </c>
      <c r="K14" s="7" t="s">
        <v>613</v>
      </c>
    </row>
    <row r="15" spans="1:11" s="5" customFormat="1" ht="38.25">
      <c r="A15" s="14">
        <f t="shared" si="0"/>
        <v>11</v>
      </c>
      <c r="B15" s="14" t="s">
        <v>523</v>
      </c>
      <c r="C15" s="9" t="s">
        <v>3363</v>
      </c>
      <c r="D15" s="8" t="s">
        <v>531</v>
      </c>
      <c r="E15" s="37">
        <f>2444019.79</f>
        <v>2444019.79</v>
      </c>
      <c r="F15" s="7" t="s">
        <v>3357</v>
      </c>
      <c r="G15" s="7">
        <v>35</v>
      </c>
      <c r="H15" s="7" t="s">
        <v>526</v>
      </c>
      <c r="I15" s="10" t="s">
        <v>527</v>
      </c>
      <c r="J15" s="15" t="s">
        <v>529</v>
      </c>
      <c r="K15" s="7" t="s">
        <v>611</v>
      </c>
    </row>
    <row r="16" spans="1:11" s="5" customFormat="1" ht="12.75">
      <c r="A16" s="14">
        <f t="shared" si="0"/>
        <v>12</v>
      </c>
      <c r="B16" s="14" t="s">
        <v>530</v>
      </c>
      <c r="C16" s="9" t="s">
        <v>537</v>
      </c>
      <c r="D16" s="8" t="s">
        <v>534</v>
      </c>
      <c r="E16" s="37">
        <v>133700</v>
      </c>
      <c r="F16" s="7" t="s">
        <v>533</v>
      </c>
      <c r="G16" s="7">
        <v>35</v>
      </c>
      <c r="H16" s="7" t="s">
        <v>536</v>
      </c>
      <c r="I16" s="7" t="s">
        <v>536</v>
      </c>
      <c r="J16" s="15" t="s">
        <v>535</v>
      </c>
      <c r="K16" s="7" t="s">
        <v>3253</v>
      </c>
    </row>
    <row r="17" spans="1:11" s="5" customFormat="1" ht="12.75">
      <c r="A17" s="14">
        <f t="shared" si="0"/>
        <v>13</v>
      </c>
      <c r="B17" s="14" t="s">
        <v>532</v>
      </c>
      <c r="C17" s="9" t="s">
        <v>2093</v>
      </c>
      <c r="D17" s="8" t="s">
        <v>2089</v>
      </c>
      <c r="E17" s="37">
        <v>560496.5</v>
      </c>
      <c r="F17" s="7" t="s">
        <v>2090</v>
      </c>
      <c r="G17" s="7">
        <v>25</v>
      </c>
      <c r="H17" s="7" t="s">
        <v>2091</v>
      </c>
      <c r="I17" s="3" t="s">
        <v>2092</v>
      </c>
      <c r="J17" s="15" t="s">
        <v>2088</v>
      </c>
      <c r="K17" s="7" t="s">
        <v>3243</v>
      </c>
    </row>
    <row r="18" spans="1:11" s="5" customFormat="1" ht="12.75">
      <c r="A18" s="14">
        <f t="shared" si="0"/>
        <v>14</v>
      </c>
      <c r="B18" s="14" t="s">
        <v>538</v>
      </c>
      <c r="C18" s="9" t="s">
        <v>2093</v>
      </c>
      <c r="D18" s="8" t="s">
        <v>2096</v>
      </c>
      <c r="E18" s="37">
        <v>150533.5</v>
      </c>
      <c r="F18" s="7" t="s">
        <v>2095</v>
      </c>
      <c r="G18" s="7">
        <v>25</v>
      </c>
      <c r="H18" s="23" t="s">
        <v>2091</v>
      </c>
      <c r="I18" s="3" t="s">
        <v>2092</v>
      </c>
      <c r="J18" s="15" t="s">
        <v>2094</v>
      </c>
      <c r="K18" s="7" t="s">
        <v>3243</v>
      </c>
    </row>
    <row r="19" spans="1:11" s="5" customFormat="1" ht="12.75">
      <c r="A19" s="14">
        <f t="shared" si="0"/>
        <v>15</v>
      </c>
      <c r="B19" s="14" t="s">
        <v>539</v>
      </c>
      <c r="C19" s="9" t="s">
        <v>2093</v>
      </c>
      <c r="D19" s="8" t="s">
        <v>2099</v>
      </c>
      <c r="E19" s="37">
        <v>42747.5</v>
      </c>
      <c r="F19" s="7" t="s">
        <v>2098</v>
      </c>
      <c r="G19" s="7">
        <v>25</v>
      </c>
      <c r="H19" s="23" t="s">
        <v>2091</v>
      </c>
      <c r="I19" s="3" t="s">
        <v>2092</v>
      </c>
      <c r="J19" s="15" t="s">
        <v>2097</v>
      </c>
      <c r="K19" s="7" t="s">
        <v>3243</v>
      </c>
    </row>
    <row r="20" spans="1:11" s="5" customFormat="1" ht="25.5">
      <c r="A20" s="14">
        <f t="shared" si="0"/>
        <v>16</v>
      </c>
      <c r="B20" s="14" t="s">
        <v>540</v>
      </c>
      <c r="C20" s="9" t="s">
        <v>2093</v>
      </c>
      <c r="D20" s="8" t="s">
        <v>2101</v>
      </c>
      <c r="E20" s="37">
        <v>37054</v>
      </c>
      <c r="F20" s="10" t="s">
        <v>504</v>
      </c>
      <c r="G20" s="7">
        <v>25</v>
      </c>
      <c r="H20" s="23" t="s">
        <v>2091</v>
      </c>
      <c r="I20" s="3" t="s">
        <v>2092</v>
      </c>
      <c r="J20" s="8" t="s">
        <v>2100</v>
      </c>
      <c r="K20" s="10" t="s">
        <v>3243</v>
      </c>
    </row>
    <row r="21" spans="1:11" s="5" customFormat="1" ht="12.75">
      <c r="A21" s="14">
        <f t="shared" si="0"/>
        <v>17</v>
      </c>
      <c r="B21" s="14" t="s">
        <v>541</v>
      </c>
      <c r="C21" s="9" t="s">
        <v>2093</v>
      </c>
      <c r="D21" s="8" t="s">
        <v>2104</v>
      </c>
      <c r="E21" s="37">
        <v>165420.5</v>
      </c>
      <c r="F21" s="7" t="s">
        <v>2103</v>
      </c>
      <c r="G21" s="7">
        <v>25</v>
      </c>
      <c r="H21" s="23" t="s">
        <v>2091</v>
      </c>
      <c r="I21" s="3" t="s">
        <v>2092</v>
      </c>
      <c r="J21" s="15" t="s">
        <v>2102</v>
      </c>
      <c r="K21" s="7" t="s">
        <v>3243</v>
      </c>
    </row>
    <row r="22" spans="1:11" s="5" customFormat="1" ht="12.75" customHeight="1">
      <c r="A22" s="14">
        <f t="shared" si="0"/>
        <v>18</v>
      </c>
      <c r="B22" s="14" t="s">
        <v>542</v>
      </c>
      <c r="C22" s="9" t="s">
        <v>2093</v>
      </c>
      <c r="D22" s="8" t="s">
        <v>2106</v>
      </c>
      <c r="E22" s="37">
        <v>122326</v>
      </c>
      <c r="F22" s="7" t="s">
        <v>2098</v>
      </c>
      <c r="G22" s="7">
        <v>25</v>
      </c>
      <c r="H22" s="23" t="s">
        <v>2091</v>
      </c>
      <c r="I22" s="3" t="s">
        <v>2092</v>
      </c>
      <c r="J22" s="15" t="s">
        <v>2105</v>
      </c>
      <c r="K22" s="7" t="s">
        <v>3243</v>
      </c>
    </row>
    <row r="23" spans="1:11" s="5" customFormat="1" ht="25.5">
      <c r="A23" s="14">
        <f t="shared" si="0"/>
        <v>19</v>
      </c>
      <c r="B23" s="14" t="s">
        <v>543</v>
      </c>
      <c r="C23" s="9" t="s">
        <v>2115</v>
      </c>
      <c r="D23" s="8" t="s">
        <v>2108</v>
      </c>
      <c r="E23" s="37">
        <v>12721.645</v>
      </c>
      <c r="F23" s="10" t="s">
        <v>504</v>
      </c>
      <c r="G23" s="7">
        <v>35</v>
      </c>
      <c r="H23" s="7" t="s">
        <v>2109</v>
      </c>
      <c r="I23" s="7" t="s">
        <v>2109</v>
      </c>
      <c r="J23" s="15" t="s">
        <v>2107</v>
      </c>
      <c r="K23" s="7" t="s">
        <v>3285</v>
      </c>
    </row>
    <row r="24" spans="1:11" s="5" customFormat="1" ht="25.5">
      <c r="A24" s="14">
        <f t="shared" si="0"/>
        <v>20</v>
      </c>
      <c r="B24" s="14" t="s">
        <v>544</v>
      </c>
      <c r="C24" s="9" t="s">
        <v>2114</v>
      </c>
      <c r="D24" s="8" t="s">
        <v>2111</v>
      </c>
      <c r="E24" s="37">
        <v>8903.5</v>
      </c>
      <c r="F24" s="10" t="s">
        <v>2110</v>
      </c>
      <c r="G24" s="7">
        <v>30</v>
      </c>
      <c r="H24" s="7" t="s">
        <v>2112</v>
      </c>
      <c r="I24" s="7" t="s">
        <v>2112</v>
      </c>
      <c r="J24" s="8" t="s">
        <v>2113</v>
      </c>
      <c r="K24" s="10" t="s">
        <v>3284</v>
      </c>
    </row>
    <row r="25" spans="1:11" s="5" customFormat="1" ht="25.5" customHeight="1">
      <c r="A25" s="14">
        <f t="shared" si="0"/>
        <v>21</v>
      </c>
      <c r="B25" s="14" t="s">
        <v>546</v>
      </c>
      <c r="C25" s="9" t="s">
        <v>1362</v>
      </c>
      <c r="D25" s="8" t="s">
        <v>1348</v>
      </c>
      <c r="E25" s="37">
        <v>70408.052</v>
      </c>
      <c r="F25" s="10" t="s">
        <v>1347</v>
      </c>
      <c r="G25" s="7">
        <v>35</v>
      </c>
      <c r="H25" s="7" t="s">
        <v>1349</v>
      </c>
      <c r="I25" s="7" t="s">
        <v>1349</v>
      </c>
      <c r="J25" s="15" t="s">
        <v>1346</v>
      </c>
      <c r="K25" s="7" t="s">
        <v>3287</v>
      </c>
    </row>
    <row r="26" spans="1:11" s="5" customFormat="1" ht="25.5">
      <c r="A26" s="14">
        <f t="shared" si="0"/>
        <v>22</v>
      </c>
      <c r="B26" s="14" t="s">
        <v>1345</v>
      </c>
      <c r="C26" s="9" t="s">
        <v>1360</v>
      </c>
      <c r="D26" s="8" t="s">
        <v>1351</v>
      </c>
      <c r="E26" s="37">
        <v>1604612.5</v>
      </c>
      <c r="F26" s="10" t="s">
        <v>1350</v>
      </c>
      <c r="G26" s="7">
        <v>35</v>
      </c>
      <c r="H26" s="7" t="s">
        <v>1353</v>
      </c>
      <c r="I26" s="3" t="s">
        <v>1354</v>
      </c>
      <c r="J26" s="8" t="s">
        <v>1352</v>
      </c>
      <c r="K26" s="10" t="s">
        <v>3251</v>
      </c>
    </row>
    <row r="27" spans="1:11" s="5" customFormat="1" ht="38.25">
      <c r="A27" s="14">
        <f t="shared" si="0"/>
        <v>23</v>
      </c>
      <c r="B27" s="14" t="s">
        <v>547</v>
      </c>
      <c r="C27" s="9" t="s">
        <v>1362</v>
      </c>
      <c r="D27" s="8" t="s">
        <v>1356</v>
      </c>
      <c r="E27" s="37">
        <v>126674.87</v>
      </c>
      <c r="F27" s="10" t="s">
        <v>1105</v>
      </c>
      <c r="G27" s="7">
        <v>35</v>
      </c>
      <c r="H27" s="7" t="s">
        <v>1357</v>
      </c>
      <c r="I27" s="7" t="s">
        <v>1357</v>
      </c>
      <c r="J27" s="15" t="s">
        <v>1355</v>
      </c>
      <c r="K27" s="7" t="s">
        <v>3288</v>
      </c>
    </row>
    <row r="28" spans="1:11" s="5" customFormat="1" ht="25.5">
      <c r="A28" s="14">
        <f t="shared" si="0"/>
        <v>24</v>
      </c>
      <c r="B28" s="14" t="s">
        <v>548</v>
      </c>
      <c r="C28" s="9" t="s">
        <v>1360</v>
      </c>
      <c r="D28" s="8" t="s">
        <v>1359</v>
      </c>
      <c r="E28" s="37">
        <v>295717</v>
      </c>
      <c r="F28" s="10" t="s">
        <v>1350</v>
      </c>
      <c r="G28" s="7">
        <v>35</v>
      </c>
      <c r="H28" s="7" t="s">
        <v>1361</v>
      </c>
      <c r="I28" s="7" t="s">
        <v>1361</v>
      </c>
      <c r="J28" s="15" t="s">
        <v>1358</v>
      </c>
      <c r="K28" s="7" t="s">
        <v>1810</v>
      </c>
    </row>
    <row r="29" spans="1:11" s="5" customFormat="1" ht="38.25">
      <c r="A29" s="14">
        <f t="shared" si="0"/>
        <v>25</v>
      </c>
      <c r="B29" s="14" t="s">
        <v>549</v>
      </c>
      <c r="C29" s="9" t="s">
        <v>1360</v>
      </c>
      <c r="D29" s="8" t="s">
        <v>1363</v>
      </c>
      <c r="E29" s="37">
        <v>282900.565</v>
      </c>
      <c r="F29" s="7" t="s">
        <v>3357</v>
      </c>
      <c r="G29" s="7">
        <v>35</v>
      </c>
      <c r="H29" s="7" t="s">
        <v>1361</v>
      </c>
      <c r="I29" s="7" t="s">
        <v>1361</v>
      </c>
      <c r="J29" s="8" t="s">
        <v>1365</v>
      </c>
      <c r="K29" s="10" t="s">
        <v>3291</v>
      </c>
    </row>
    <row r="30" spans="1:11" s="5" customFormat="1" ht="25.5">
      <c r="A30" s="14">
        <f t="shared" si="0"/>
        <v>26</v>
      </c>
      <c r="B30" s="14" t="s">
        <v>550</v>
      </c>
      <c r="C30" s="9" t="s">
        <v>2115</v>
      </c>
      <c r="D30" s="8" t="s">
        <v>2979</v>
      </c>
      <c r="E30" s="37">
        <v>37131</v>
      </c>
      <c r="F30" s="7" t="s">
        <v>2978</v>
      </c>
      <c r="G30" s="7">
        <v>35</v>
      </c>
      <c r="H30" s="7" t="s">
        <v>2980</v>
      </c>
      <c r="I30" s="7" t="s">
        <v>2980</v>
      </c>
      <c r="J30" s="15" t="s">
        <v>1364</v>
      </c>
      <c r="K30" s="7" t="s">
        <v>617</v>
      </c>
    </row>
    <row r="31" spans="1:11" s="5" customFormat="1" ht="25.5">
      <c r="A31" s="14">
        <f t="shared" si="0"/>
        <v>27</v>
      </c>
      <c r="B31" s="14" t="s">
        <v>551</v>
      </c>
      <c r="C31" s="9" t="s">
        <v>2983</v>
      </c>
      <c r="D31" s="8" t="s">
        <v>2982</v>
      </c>
      <c r="E31" s="37">
        <v>29217</v>
      </c>
      <c r="F31" s="7" t="s">
        <v>518</v>
      </c>
      <c r="G31" s="7">
        <v>35</v>
      </c>
      <c r="H31" s="10" t="s">
        <v>2984</v>
      </c>
      <c r="I31" s="10" t="s">
        <v>2984</v>
      </c>
      <c r="J31" s="15" t="s">
        <v>2981</v>
      </c>
      <c r="K31" s="7" t="s">
        <v>606</v>
      </c>
    </row>
    <row r="32" spans="1:11" s="5" customFormat="1" ht="25.5">
      <c r="A32" s="14">
        <f t="shared" si="0"/>
        <v>28</v>
      </c>
      <c r="B32" s="14" t="s">
        <v>552</v>
      </c>
      <c r="C32" s="9" t="s">
        <v>2988</v>
      </c>
      <c r="D32" s="8" t="s">
        <v>2987</v>
      </c>
      <c r="E32" s="37">
        <v>505700</v>
      </c>
      <c r="F32" s="10" t="s">
        <v>2986</v>
      </c>
      <c r="G32" s="7">
        <v>35</v>
      </c>
      <c r="H32" s="10" t="s">
        <v>2989</v>
      </c>
      <c r="I32" s="10" t="s">
        <v>2989</v>
      </c>
      <c r="J32" s="15" t="s">
        <v>2985</v>
      </c>
      <c r="K32" s="7" t="s">
        <v>316</v>
      </c>
    </row>
    <row r="33" spans="1:11" s="5" customFormat="1" ht="25.5">
      <c r="A33" s="14">
        <f t="shared" si="0"/>
        <v>29</v>
      </c>
      <c r="B33" s="14" t="s">
        <v>553</v>
      </c>
      <c r="C33" s="9" t="s">
        <v>2988</v>
      </c>
      <c r="D33" s="8" t="s">
        <v>2992</v>
      </c>
      <c r="E33" s="37">
        <v>248806</v>
      </c>
      <c r="F33" s="10" t="s">
        <v>2991</v>
      </c>
      <c r="G33" s="7">
        <v>35</v>
      </c>
      <c r="H33" s="10" t="s">
        <v>2993</v>
      </c>
      <c r="I33" s="10" t="s">
        <v>2993</v>
      </c>
      <c r="J33" s="15" t="s">
        <v>2990</v>
      </c>
      <c r="K33" s="7" t="s">
        <v>3233</v>
      </c>
    </row>
    <row r="34" spans="1:11" s="5" customFormat="1" ht="38.25">
      <c r="A34" s="14">
        <f t="shared" si="0"/>
        <v>30</v>
      </c>
      <c r="B34" s="14" t="s">
        <v>554</v>
      </c>
      <c r="C34" s="9" t="s">
        <v>2327</v>
      </c>
      <c r="D34" s="8" t="s">
        <v>2325</v>
      </c>
      <c r="E34" s="37">
        <v>29643.91</v>
      </c>
      <c r="F34" s="10" t="s">
        <v>3348</v>
      </c>
      <c r="G34" s="7">
        <v>25</v>
      </c>
      <c r="H34" s="7" t="s">
        <v>2326</v>
      </c>
      <c r="I34" s="7" t="s">
        <v>2326</v>
      </c>
      <c r="J34" s="15" t="s">
        <v>2994</v>
      </c>
      <c r="K34" s="7" t="s">
        <v>3279</v>
      </c>
    </row>
    <row r="35" spans="1:11" s="5" customFormat="1" ht="38.25">
      <c r="A35" s="14">
        <f t="shared" si="0"/>
        <v>31</v>
      </c>
      <c r="B35" s="14" t="s">
        <v>555</v>
      </c>
      <c r="C35" s="9" t="s">
        <v>2331</v>
      </c>
      <c r="D35" s="8" t="s">
        <v>2330</v>
      </c>
      <c r="E35" s="37">
        <v>2547.821</v>
      </c>
      <c r="F35" s="7" t="s">
        <v>2329</v>
      </c>
      <c r="G35" s="7">
        <v>12</v>
      </c>
      <c r="H35" s="7" t="s">
        <v>2332</v>
      </c>
      <c r="I35" s="7" t="s">
        <v>2332</v>
      </c>
      <c r="J35" s="8" t="s">
        <v>2328</v>
      </c>
      <c r="K35" s="10" t="s">
        <v>605</v>
      </c>
    </row>
    <row r="36" spans="1:11" s="5" customFormat="1" ht="25.5" customHeight="1">
      <c r="A36" s="14">
        <f t="shared" si="0"/>
        <v>32</v>
      </c>
      <c r="B36" s="14" t="s">
        <v>185</v>
      </c>
      <c r="C36" s="9" t="s">
        <v>2988</v>
      </c>
      <c r="D36" s="8" t="s">
        <v>2335</v>
      </c>
      <c r="E36" s="37">
        <v>54000</v>
      </c>
      <c r="F36" s="10" t="s">
        <v>2334</v>
      </c>
      <c r="G36" s="7">
        <v>35</v>
      </c>
      <c r="H36" s="7" t="s">
        <v>2336</v>
      </c>
      <c r="I36" s="7" t="s">
        <v>2336</v>
      </c>
      <c r="J36" s="15" t="s">
        <v>2333</v>
      </c>
      <c r="K36" s="7" t="s">
        <v>3292</v>
      </c>
    </row>
    <row r="37" spans="1:11" s="5" customFormat="1" ht="25.5" customHeight="1">
      <c r="A37" s="14">
        <f t="shared" si="0"/>
        <v>33</v>
      </c>
      <c r="B37" s="14" t="s">
        <v>556</v>
      </c>
      <c r="C37" s="9" t="s">
        <v>2340</v>
      </c>
      <c r="D37" s="8" t="s">
        <v>2338</v>
      </c>
      <c r="E37" s="37">
        <v>897900</v>
      </c>
      <c r="F37" s="7" t="s">
        <v>3357</v>
      </c>
      <c r="G37" s="7">
        <v>25</v>
      </c>
      <c r="H37" s="7" t="s">
        <v>2339</v>
      </c>
      <c r="I37" s="7" t="s">
        <v>2339</v>
      </c>
      <c r="J37" s="8" t="s">
        <v>2337</v>
      </c>
      <c r="K37" s="10" t="s">
        <v>3297</v>
      </c>
    </row>
    <row r="38" spans="1:11" s="5" customFormat="1" ht="38.25">
      <c r="A38" s="14">
        <f t="shared" si="0"/>
        <v>34</v>
      </c>
      <c r="B38" s="14" t="s">
        <v>557</v>
      </c>
      <c r="C38" s="9" t="s">
        <v>2345</v>
      </c>
      <c r="D38" s="8" t="s">
        <v>2343</v>
      </c>
      <c r="E38" s="37">
        <v>104000</v>
      </c>
      <c r="F38" s="7" t="s">
        <v>2342</v>
      </c>
      <c r="G38" s="7">
        <v>25</v>
      </c>
      <c r="H38" s="7" t="s">
        <v>2344</v>
      </c>
      <c r="I38" s="7" t="s">
        <v>2344</v>
      </c>
      <c r="J38" s="15" t="s">
        <v>2341</v>
      </c>
      <c r="K38" s="7" t="s">
        <v>606</v>
      </c>
    </row>
    <row r="39" spans="1:11" s="5" customFormat="1" ht="38.25">
      <c r="A39" s="14">
        <f t="shared" si="0"/>
        <v>35</v>
      </c>
      <c r="B39" s="14" t="s">
        <v>558</v>
      </c>
      <c r="C39" s="9" t="s">
        <v>2350</v>
      </c>
      <c r="D39" s="8" t="s">
        <v>2348</v>
      </c>
      <c r="E39" s="37">
        <f>9717.025+14950.005</f>
        <v>24667.03</v>
      </c>
      <c r="F39" s="10" t="s">
        <v>2347</v>
      </c>
      <c r="G39" s="7">
        <v>20</v>
      </c>
      <c r="H39" s="7" t="s">
        <v>2349</v>
      </c>
      <c r="I39" s="7" t="s">
        <v>2349</v>
      </c>
      <c r="J39" s="15" t="s">
        <v>2346</v>
      </c>
      <c r="K39" s="7" t="s">
        <v>3249</v>
      </c>
    </row>
    <row r="40" spans="1:11" s="5" customFormat="1" ht="25.5" customHeight="1">
      <c r="A40" s="14">
        <f t="shared" si="0"/>
        <v>36</v>
      </c>
      <c r="B40" s="14" t="s">
        <v>559</v>
      </c>
      <c r="C40" s="9" t="s">
        <v>3054</v>
      </c>
      <c r="D40" s="8" t="s">
        <v>3051</v>
      </c>
      <c r="E40" s="37">
        <v>630000</v>
      </c>
      <c r="F40" s="10" t="s">
        <v>3052</v>
      </c>
      <c r="G40" s="7">
        <v>35</v>
      </c>
      <c r="H40" s="7" t="s">
        <v>3053</v>
      </c>
      <c r="I40" s="7" t="s">
        <v>3053</v>
      </c>
      <c r="J40" s="15" t="s">
        <v>2351</v>
      </c>
      <c r="K40" s="7" t="s">
        <v>3241</v>
      </c>
    </row>
    <row r="41" spans="1:11" s="5" customFormat="1" ht="25.5">
      <c r="A41" s="14">
        <f t="shared" si="0"/>
        <v>37</v>
      </c>
      <c r="B41" s="14" t="s">
        <v>560</v>
      </c>
      <c r="C41" s="9" t="s">
        <v>3059</v>
      </c>
      <c r="D41" s="8" t="s">
        <v>3057</v>
      </c>
      <c r="E41" s="37">
        <v>215893</v>
      </c>
      <c r="F41" s="7" t="s">
        <v>3056</v>
      </c>
      <c r="G41" s="7">
        <v>35</v>
      </c>
      <c r="H41" s="7" t="s">
        <v>3058</v>
      </c>
      <c r="I41" s="7" t="s">
        <v>3058</v>
      </c>
      <c r="J41" s="15" t="s">
        <v>3055</v>
      </c>
      <c r="K41" s="7" t="s">
        <v>3232</v>
      </c>
    </row>
    <row r="42" spans="1:11" s="5" customFormat="1" ht="25.5">
      <c r="A42" s="14">
        <f t="shared" si="0"/>
        <v>38</v>
      </c>
      <c r="B42" s="14" t="s">
        <v>562</v>
      </c>
      <c r="C42" s="9" t="s">
        <v>485</v>
      </c>
      <c r="D42" s="8" t="s">
        <v>484</v>
      </c>
      <c r="E42" s="37">
        <v>247199</v>
      </c>
      <c r="F42" s="10" t="s">
        <v>483</v>
      </c>
      <c r="G42" s="7">
        <v>20</v>
      </c>
      <c r="H42" s="7" t="s">
        <v>486</v>
      </c>
      <c r="I42" s="7" t="s">
        <v>486</v>
      </c>
      <c r="J42" s="15" t="s">
        <v>482</v>
      </c>
      <c r="K42" s="7" t="s">
        <v>3233</v>
      </c>
    </row>
    <row r="43" spans="1:11" s="5" customFormat="1" ht="38.25">
      <c r="A43" s="14">
        <f t="shared" si="0"/>
        <v>39</v>
      </c>
      <c r="B43" s="14" t="s">
        <v>561</v>
      </c>
      <c r="C43" s="9" t="s">
        <v>490</v>
      </c>
      <c r="D43" s="8" t="s">
        <v>487</v>
      </c>
      <c r="E43" s="37">
        <v>77642</v>
      </c>
      <c r="F43" s="7" t="s">
        <v>1255</v>
      </c>
      <c r="G43" s="7">
        <v>19</v>
      </c>
      <c r="H43" s="7" t="s">
        <v>488</v>
      </c>
      <c r="I43" s="3" t="s">
        <v>489</v>
      </c>
      <c r="J43" s="8" t="s">
        <v>491</v>
      </c>
      <c r="K43" s="10" t="s">
        <v>3277</v>
      </c>
    </row>
    <row r="44" spans="1:11" s="5" customFormat="1" ht="25.5" customHeight="1">
      <c r="A44" s="14">
        <f t="shared" si="0"/>
        <v>40</v>
      </c>
      <c r="B44" s="14" t="s">
        <v>563</v>
      </c>
      <c r="C44" s="9" t="s">
        <v>1360</v>
      </c>
      <c r="D44" s="8" t="s">
        <v>493</v>
      </c>
      <c r="E44" s="37">
        <v>234056</v>
      </c>
      <c r="F44" s="7" t="s">
        <v>3357</v>
      </c>
      <c r="G44" s="7">
        <v>35</v>
      </c>
      <c r="H44" s="7" t="s">
        <v>2993</v>
      </c>
      <c r="I44" s="7" t="s">
        <v>2993</v>
      </c>
      <c r="J44" s="15" t="s">
        <v>492</v>
      </c>
      <c r="K44" s="7" t="s">
        <v>3233</v>
      </c>
    </row>
    <row r="45" spans="1:11" s="5" customFormat="1" ht="25.5">
      <c r="A45" s="14">
        <f t="shared" si="0"/>
        <v>41</v>
      </c>
      <c r="B45" s="14" t="s">
        <v>564</v>
      </c>
      <c r="C45" s="9" t="s">
        <v>2162</v>
      </c>
      <c r="D45" s="8" t="s">
        <v>2160</v>
      </c>
      <c r="E45" s="37">
        <v>537521.5</v>
      </c>
      <c r="F45" s="10" t="s">
        <v>2161</v>
      </c>
      <c r="G45" s="7">
        <v>20</v>
      </c>
      <c r="H45" s="7" t="s">
        <v>2163</v>
      </c>
      <c r="I45" s="7" t="s">
        <v>2163</v>
      </c>
      <c r="J45" s="15" t="s">
        <v>494</v>
      </c>
      <c r="K45" s="7" t="s">
        <v>3275</v>
      </c>
    </row>
    <row r="46" spans="1:11" s="5" customFormat="1" ht="38.25">
      <c r="A46" s="14">
        <f t="shared" si="0"/>
        <v>42</v>
      </c>
      <c r="B46" s="14" t="s">
        <v>565</v>
      </c>
      <c r="C46" s="9" t="s">
        <v>1360</v>
      </c>
      <c r="D46" s="8" t="s">
        <v>2165</v>
      </c>
      <c r="E46" s="37">
        <v>636459.5</v>
      </c>
      <c r="F46" s="7" t="s">
        <v>502</v>
      </c>
      <c r="G46" s="7">
        <v>27</v>
      </c>
      <c r="H46" s="7" t="s">
        <v>2166</v>
      </c>
      <c r="I46" s="3" t="s">
        <v>173</v>
      </c>
      <c r="J46" s="15" t="s">
        <v>2164</v>
      </c>
      <c r="K46" s="7" t="s">
        <v>3250</v>
      </c>
    </row>
    <row r="47" spans="1:11" s="5" customFormat="1" ht="25.5">
      <c r="A47" s="14">
        <f t="shared" si="0"/>
        <v>43</v>
      </c>
      <c r="B47" s="14" t="s">
        <v>566</v>
      </c>
      <c r="C47" s="9" t="s">
        <v>2171</v>
      </c>
      <c r="D47" s="8" t="s">
        <v>2168</v>
      </c>
      <c r="E47" s="37">
        <v>8065.9</v>
      </c>
      <c r="F47" s="10" t="s">
        <v>2167</v>
      </c>
      <c r="G47" s="7">
        <v>20</v>
      </c>
      <c r="H47" s="7" t="s">
        <v>2169</v>
      </c>
      <c r="I47" s="3" t="s">
        <v>489</v>
      </c>
      <c r="J47" s="8" t="s">
        <v>2170</v>
      </c>
      <c r="K47" s="10" t="s">
        <v>3238</v>
      </c>
    </row>
    <row r="48" spans="1:11" s="5" customFormat="1" ht="25.5" customHeight="1">
      <c r="A48" s="14">
        <f t="shared" si="0"/>
        <v>44</v>
      </c>
      <c r="B48" s="14" t="s">
        <v>567</v>
      </c>
      <c r="C48" s="9" t="s">
        <v>2988</v>
      </c>
      <c r="D48" s="8" t="s">
        <v>2173</v>
      </c>
      <c r="E48" s="37">
        <f>0.0689*1000^2</f>
        <v>68900</v>
      </c>
      <c r="F48" s="7" t="s">
        <v>2334</v>
      </c>
      <c r="G48" s="7">
        <v>35</v>
      </c>
      <c r="H48" s="7" t="s">
        <v>2989</v>
      </c>
      <c r="I48" s="7" t="s">
        <v>2989</v>
      </c>
      <c r="J48" s="15" t="s">
        <v>2172</v>
      </c>
      <c r="K48" s="7" t="s">
        <v>316</v>
      </c>
    </row>
    <row r="49" spans="1:11" s="5" customFormat="1" ht="25.5">
      <c r="A49" s="14">
        <f t="shared" si="0"/>
        <v>45</v>
      </c>
      <c r="B49" s="14" t="s">
        <v>3115</v>
      </c>
      <c r="C49" s="9" t="s">
        <v>2171</v>
      </c>
      <c r="D49" s="8" t="s">
        <v>2179</v>
      </c>
      <c r="E49" s="37">
        <v>12804.56</v>
      </c>
      <c r="F49" s="7" t="s">
        <v>2095</v>
      </c>
      <c r="G49" s="7">
        <v>25</v>
      </c>
      <c r="H49" s="7" t="s">
        <v>2169</v>
      </c>
      <c r="I49" s="3" t="s">
        <v>489</v>
      </c>
      <c r="J49" s="8" t="s">
        <v>2180</v>
      </c>
      <c r="K49" s="10" t="s">
        <v>3238</v>
      </c>
    </row>
    <row r="50" spans="1:11" s="5" customFormat="1" ht="38.25">
      <c r="A50" s="14">
        <f t="shared" si="0"/>
        <v>46</v>
      </c>
      <c r="B50" s="14" t="s">
        <v>3116</v>
      </c>
      <c r="C50" s="9" t="s">
        <v>2171</v>
      </c>
      <c r="D50" s="8" t="s">
        <v>2183</v>
      </c>
      <c r="E50" s="37">
        <v>17679.2</v>
      </c>
      <c r="F50" s="10" t="s">
        <v>2182</v>
      </c>
      <c r="G50" s="7">
        <v>20</v>
      </c>
      <c r="H50" s="7" t="s">
        <v>2169</v>
      </c>
      <c r="I50" s="3" t="s">
        <v>489</v>
      </c>
      <c r="J50" s="8" t="s">
        <v>2181</v>
      </c>
      <c r="K50" s="10" t="s">
        <v>3238</v>
      </c>
    </row>
    <row r="51" spans="1:11" s="5" customFormat="1" ht="51">
      <c r="A51" s="14">
        <f t="shared" si="0"/>
        <v>47</v>
      </c>
      <c r="B51" s="14" t="s">
        <v>3117</v>
      </c>
      <c r="C51" s="9" t="s">
        <v>2171</v>
      </c>
      <c r="D51" s="8" t="s">
        <v>2186</v>
      </c>
      <c r="E51" s="37">
        <v>193122</v>
      </c>
      <c r="F51" s="10" t="s">
        <v>2185</v>
      </c>
      <c r="G51" s="7">
        <v>20</v>
      </c>
      <c r="H51" s="7" t="s">
        <v>2169</v>
      </c>
      <c r="I51" s="3" t="s">
        <v>489</v>
      </c>
      <c r="J51" s="8" t="s">
        <v>2184</v>
      </c>
      <c r="K51" s="10" t="s">
        <v>3238</v>
      </c>
    </row>
    <row r="52" spans="1:11" s="5" customFormat="1" ht="25.5">
      <c r="A52" s="14">
        <f t="shared" si="0"/>
        <v>48</v>
      </c>
      <c r="B52" s="14" t="s">
        <v>3118</v>
      </c>
      <c r="C52" s="9" t="s">
        <v>2171</v>
      </c>
      <c r="D52" s="8" t="s">
        <v>2188</v>
      </c>
      <c r="E52" s="37">
        <v>160228</v>
      </c>
      <c r="F52" s="7" t="s">
        <v>2098</v>
      </c>
      <c r="G52" s="7">
        <v>25</v>
      </c>
      <c r="H52" s="7" t="s">
        <v>1411</v>
      </c>
      <c r="I52" s="3" t="s">
        <v>489</v>
      </c>
      <c r="J52" s="8" t="s">
        <v>2187</v>
      </c>
      <c r="K52" s="10" t="s">
        <v>3274</v>
      </c>
    </row>
    <row r="53" spans="1:11" s="5" customFormat="1" ht="25.5">
      <c r="A53" s="14">
        <f t="shared" si="0"/>
        <v>49</v>
      </c>
      <c r="B53" s="14" t="s">
        <v>3119</v>
      </c>
      <c r="C53" s="9" t="s">
        <v>2171</v>
      </c>
      <c r="D53" s="8" t="s">
        <v>1414</v>
      </c>
      <c r="E53" s="37">
        <v>67523.8</v>
      </c>
      <c r="F53" s="10" t="s">
        <v>1413</v>
      </c>
      <c r="G53" s="7">
        <v>20</v>
      </c>
      <c r="H53" s="7" t="s">
        <v>1415</v>
      </c>
      <c r="I53" s="3" t="s">
        <v>489</v>
      </c>
      <c r="J53" s="8" t="s">
        <v>1412</v>
      </c>
      <c r="K53" s="10" t="s">
        <v>3239</v>
      </c>
    </row>
    <row r="54" spans="1:11" s="5" customFormat="1" ht="25.5">
      <c r="A54" s="14">
        <f t="shared" si="0"/>
        <v>50</v>
      </c>
      <c r="B54" s="14" t="s">
        <v>3120</v>
      </c>
      <c r="C54" s="9" t="s">
        <v>2171</v>
      </c>
      <c r="D54" s="8" t="s">
        <v>1417</v>
      </c>
      <c r="E54" s="37">
        <v>128874.9</v>
      </c>
      <c r="F54" s="7" t="s">
        <v>1418</v>
      </c>
      <c r="G54" s="7">
        <v>20</v>
      </c>
      <c r="H54" s="7" t="s">
        <v>1415</v>
      </c>
      <c r="I54" s="3" t="s">
        <v>489</v>
      </c>
      <c r="J54" s="8" t="s">
        <v>1416</v>
      </c>
      <c r="K54" s="10" t="s">
        <v>3239</v>
      </c>
    </row>
    <row r="55" spans="1:11" s="5" customFormat="1" ht="51" customHeight="1">
      <c r="A55" s="14">
        <f t="shared" si="0"/>
        <v>51</v>
      </c>
      <c r="B55" s="14" t="s">
        <v>3121</v>
      </c>
      <c r="C55" s="9" t="s">
        <v>3060</v>
      </c>
      <c r="D55" s="8" t="s">
        <v>1419</v>
      </c>
      <c r="E55" s="37">
        <v>136596</v>
      </c>
      <c r="F55" s="7" t="s">
        <v>2161</v>
      </c>
      <c r="G55" s="7">
        <v>35</v>
      </c>
      <c r="H55" s="7" t="s">
        <v>1420</v>
      </c>
      <c r="I55" s="7" t="s">
        <v>1420</v>
      </c>
      <c r="J55" s="8" t="s">
        <v>1421</v>
      </c>
      <c r="K55" s="10" t="s">
        <v>3240</v>
      </c>
    </row>
    <row r="56" spans="1:11" s="5" customFormat="1" ht="25.5">
      <c r="A56" s="14">
        <f t="shared" si="0"/>
        <v>52</v>
      </c>
      <c r="B56" s="14" t="s">
        <v>3122</v>
      </c>
      <c r="C56" s="9" t="s">
        <v>3063</v>
      </c>
      <c r="D56" s="8" t="s">
        <v>472</v>
      </c>
      <c r="E56" s="37">
        <v>270012</v>
      </c>
      <c r="F56" s="7" t="s">
        <v>3061</v>
      </c>
      <c r="G56" s="7">
        <v>35</v>
      </c>
      <c r="H56" s="7" t="s">
        <v>3062</v>
      </c>
      <c r="I56" s="7" t="s">
        <v>3062</v>
      </c>
      <c r="J56" s="8" t="s">
        <v>3064</v>
      </c>
      <c r="K56" s="10" t="s">
        <v>620</v>
      </c>
    </row>
    <row r="57" spans="1:11" s="5" customFormat="1" ht="38.25">
      <c r="A57" s="14">
        <f t="shared" si="0"/>
        <v>53</v>
      </c>
      <c r="B57" s="14" t="s">
        <v>3125</v>
      </c>
      <c r="C57" s="9" t="s">
        <v>1360</v>
      </c>
      <c r="D57" s="8" t="s">
        <v>3090</v>
      </c>
      <c r="E57" s="37">
        <v>841227</v>
      </c>
      <c r="F57" s="7" t="s">
        <v>3357</v>
      </c>
      <c r="G57" s="7">
        <v>35</v>
      </c>
      <c r="H57" s="7" t="s">
        <v>3091</v>
      </c>
      <c r="I57" s="7" t="s">
        <v>3091</v>
      </c>
      <c r="J57" s="15" t="s">
        <v>3089</v>
      </c>
      <c r="K57" s="7" t="s">
        <v>3290</v>
      </c>
    </row>
    <row r="58" spans="1:11" s="5" customFormat="1" ht="25.5">
      <c r="A58" s="14">
        <f t="shared" si="0"/>
        <v>54</v>
      </c>
      <c r="B58" s="14" t="s">
        <v>3126</v>
      </c>
      <c r="C58" s="9" t="s">
        <v>3095</v>
      </c>
      <c r="D58" s="8" t="s">
        <v>3093</v>
      </c>
      <c r="E58" s="37">
        <v>440000</v>
      </c>
      <c r="F58" s="7" t="s">
        <v>3357</v>
      </c>
      <c r="G58" s="7">
        <v>30</v>
      </c>
      <c r="H58" s="7" t="s">
        <v>3094</v>
      </c>
      <c r="I58" s="7" t="s">
        <v>3094</v>
      </c>
      <c r="J58" s="15" t="s">
        <v>3092</v>
      </c>
      <c r="K58" s="7" t="s">
        <v>3278</v>
      </c>
    </row>
    <row r="59" spans="1:11" s="5" customFormat="1" ht="38.25">
      <c r="A59" s="14">
        <f t="shared" si="0"/>
        <v>55</v>
      </c>
      <c r="B59" s="14" t="s">
        <v>3127</v>
      </c>
      <c r="C59" s="9" t="s">
        <v>3099</v>
      </c>
      <c r="D59" s="8" t="s">
        <v>3098</v>
      </c>
      <c r="E59" s="37">
        <f>174013+45674</f>
        <v>219687</v>
      </c>
      <c r="F59" s="7" t="s">
        <v>3097</v>
      </c>
      <c r="G59" s="7">
        <v>35</v>
      </c>
      <c r="H59" s="7" t="s">
        <v>3100</v>
      </c>
      <c r="I59" s="7" t="s">
        <v>3100</v>
      </c>
      <c r="J59" s="15" t="s">
        <v>3096</v>
      </c>
      <c r="K59" s="7" t="s">
        <v>610</v>
      </c>
    </row>
    <row r="60" spans="1:11" s="5" customFormat="1" ht="25.5">
      <c r="A60" s="14">
        <f t="shared" si="0"/>
        <v>56</v>
      </c>
      <c r="B60" s="14" t="s">
        <v>3128</v>
      </c>
      <c r="C60" s="9" t="s">
        <v>3362</v>
      </c>
      <c r="D60" s="8" t="s">
        <v>3102</v>
      </c>
      <c r="E60" s="37">
        <f>49428+39027</f>
        <v>88455</v>
      </c>
      <c r="F60" s="7" t="s">
        <v>1255</v>
      </c>
      <c r="G60" s="7">
        <v>25</v>
      </c>
      <c r="H60" s="7" t="s">
        <v>962</v>
      </c>
      <c r="I60" s="7" t="s">
        <v>962</v>
      </c>
      <c r="J60" s="15" t="s">
        <v>3101</v>
      </c>
      <c r="K60" s="7" t="s">
        <v>610</v>
      </c>
    </row>
    <row r="61" spans="1:11" s="5" customFormat="1" ht="25.5">
      <c r="A61" s="14">
        <f t="shared" si="0"/>
        <v>57</v>
      </c>
      <c r="B61" s="14" t="s">
        <v>3129</v>
      </c>
      <c r="C61" s="9" t="s">
        <v>966</v>
      </c>
      <c r="D61" s="8" t="s">
        <v>964</v>
      </c>
      <c r="E61" s="37">
        <v>145882</v>
      </c>
      <c r="F61" s="10" t="s">
        <v>967</v>
      </c>
      <c r="G61" s="7">
        <v>35</v>
      </c>
      <c r="H61" s="7" t="s">
        <v>965</v>
      </c>
      <c r="I61" s="7" t="s">
        <v>965</v>
      </c>
      <c r="J61" s="15" t="s">
        <v>963</v>
      </c>
      <c r="K61" s="7" t="s">
        <v>3293</v>
      </c>
    </row>
    <row r="62" spans="1:11" s="5" customFormat="1" ht="25.5">
      <c r="A62" s="14">
        <f t="shared" si="0"/>
        <v>58</v>
      </c>
      <c r="B62" s="14" t="s">
        <v>3130</v>
      </c>
      <c r="C62" s="9" t="s">
        <v>971</v>
      </c>
      <c r="D62" s="8" t="s">
        <v>969</v>
      </c>
      <c r="E62" s="37">
        <v>72672</v>
      </c>
      <c r="F62" s="10" t="s">
        <v>970</v>
      </c>
      <c r="G62" s="7">
        <v>35</v>
      </c>
      <c r="H62" s="7" t="s">
        <v>972</v>
      </c>
      <c r="I62" s="7" t="s">
        <v>972</v>
      </c>
      <c r="J62" s="15" t="s">
        <v>968</v>
      </c>
      <c r="K62" s="7" t="s">
        <v>3248</v>
      </c>
    </row>
    <row r="63" spans="1:11" s="5" customFormat="1" ht="38.25">
      <c r="A63" s="14">
        <f t="shared" si="0"/>
        <v>59</v>
      </c>
      <c r="B63" s="14" t="s">
        <v>3131</v>
      </c>
      <c r="C63" s="9" t="s">
        <v>971</v>
      </c>
      <c r="D63" s="8" t="s">
        <v>975</v>
      </c>
      <c r="E63" s="37">
        <v>52870</v>
      </c>
      <c r="F63" s="7" t="s">
        <v>974</v>
      </c>
      <c r="G63" s="7">
        <v>35</v>
      </c>
      <c r="H63" s="7" t="s">
        <v>1235</v>
      </c>
      <c r="I63" s="7" t="s">
        <v>1235</v>
      </c>
      <c r="J63" s="8" t="s">
        <v>973</v>
      </c>
      <c r="K63" s="10" t="s">
        <v>3234</v>
      </c>
    </row>
    <row r="64" spans="1:11" s="5" customFormat="1" ht="25.5">
      <c r="A64" s="14">
        <f t="shared" si="0"/>
        <v>60</v>
      </c>
      <c r="B64" s="14" t="s">
        <v>3132</v>
      </c>
      <c r="C64" s="9" t="s">
        <v>1157</v>
      </c>
      <c r="D64" s="8" t="s">
        <v>978</v>
      </c>
      <c r="E64" s="37">
        <v>1448137</v>
      </c>
      <c r="F64" s="7" t="s">
        <v>977</v>
      </c>
      <c r="G64" s="7">
        <v>35</v>
      </c>
      <c r="H64" s="10" t="s">
        <v>1235</v>
      </c>
      <c r="I64" s="10" t="s">
        <v>979</v>
      </c>
      <c r="J64" s="15" t="s">
        <v>976</v>
      </c>
      <c r="K64" s="7" t="s">
        <v>619</v>
      </c>
    </row>
    <row r="65" spans="1:11" s="5" customFormat="1" ht="38.25">
      <c r="A65" s="14">
        <f t="shared" si="0"/>
        <v>61</v>
      </c>
      <c r="B65" s="14" t="s">
        <v>3133</v>
      </c>
      <c r="C65" s="9" t="s">
        <v>485</v>
      </c>
      <c r="D65" s="8" t="s">
        <v>981</v>
      </c>
      <c r="E65" s="37">
        <v>1356250.7</v>
      </c>
      <c r="F65" s="7" t="s">
        <v>483</v>
      </c>
      <c r="G65" s="7">
        <v>35</v>
      </c>
      <c r="H65" s="7" t="s">
        <v>1235</v>
      </c>
      <c r="I65" s="7" t="s">
        <v>1235</v>
      </c>
      <c r="J65" s="15" t="s">
        <v>980</v>
      </c>
      <c r="K65" s="7" t="s">
        <v>3234</v>
      </c>
    </row>
    <row r="66" spans="1:11" s="5" customFormat="1" ht="25.5">
      <c r="A66" s="14">
        <f t="shared" si="0"/>
        <v>62</v>
      </c>
      <c r="B66" s="14" t="s">
        <v>3134</v>
      </c>
      <c r="C66" s="9" t="s">
        <v>984</v>
      </c>
      <c r="D66" s="8" t="s">
        <v>983</v>
      </c>
      <c r="E66" s="37">
        <v>200000</v>
      </c>
      <c r="F66" s="7" t="s">
        <v>3346</v>
      </c>
      <c r="G66" s="7">
        <v>35</v>
      </c>
      <c r="H66" s="7" t="s">
        <v>1235</v>
      </c>
      <c r="I66" s="7" t="s">
        <v>1235</v>
      </c>
      <c r="J66" s="8" t="s">
        <v>982</v>
      </c>
      <c r="K66" s="10" t="s">
        <v>619</v>
      </c>
    </row>
    <row r="67" spans="1:11" s="5" customFormat="1" ht="25.5">
      <c r="A67" s="14">
        <f t="shared" si="0"/>
        <v>63</v>
      </c>
      <c r="B67" s="14" t="s">
        <v>3135</v>
      </c>
      <c r="C67" s="9" t="s">
        <v>3362</v>
      </c>
      <c r="D67" s="8" t="s">
        <v>2614</v>
      </c>
      <c r="E67" s="37">
        <v>176000</v>
      </c>
      <c r="F67" s="7" t="s">
        <v>1255</v>
      </c>
      <c r="G67" s="7">
        <v>35</v>
      </c>
      <c r="H67" s="7" t="s">
        <v>986</v>
      </c>
      <c r="I67" s="7" t="s">
        <v>986</v>
      </c>
      <c r="J67" s="8" t="s">
        <v>985</v>
      </c>
      <c r="K67" s="7" t="s">
        <v>609</v>
      </c>
    </row>
    <row r="68" spans="1:11" s="5" customFormat="1" ht="25.5">
      <c r="A68" s="14">
        <f t="shared" si="0"/>
        <v>64</v>
      </c>
      <c r="B68" s="14"/>
      <c r="C68" s="9" t="s">
        <v>3362</v>
      </c>
      <c r="D68" s="8" t="s">
        <v>2613</v>
      </c>
      <c r="E68" s="37">
        <v>535068</v>
      </c>
      <c r="F68" s="7" t="s">
        <v>1255</v>
      </c>
      <c r="G68" s="7">
        <v>35</v>
      </c>
      <c r="H68" s="7" t="s">
        <v>608</v>
      </c>
      <c r="I68" s="7" t="s">
        <v>608</v>
      </c>
      <c r="J68" s="8" t="s">
        <v>2615</v>
      </c>
      <c r="K68" s="7" t="s">
        <v>607</v>
      </c>
    </row>
    <row r="69" spans="1:11" s="5" customFormat="1" ht="25.5">
      <c r="A69" s="14">
        <f t="shared" si="0"/>
        <v>65</v>
      </c>
      <c r="B69" s="14" t="s">
        <v>3301</v>
      </c>
      <c r="C69" s="9" t="s">
        <v>3302</v>
      </c>
      <c r="D69" s="8" t="s">
        <v>2610</v>
      </c>
      <c r="E69" s="37">
        <f>0.217*1000^2</f>
        <v>217000</v>
      </c>
      <c r="F69" s="7" t="s">
        <v>1418</v>
      </c>
      <c r="G69" s="7">
        <v>35</v>
      </c>
      <c r="H69" s="7" t="s">
        <v>3247</v>
      </c>
      <c r="I69" s="7" t="s">
        <v>3247</v>
      </c>
      <c r="J69" s="8" t="s">
        <v>2616</v>
      </c>
      <c r="K69" s="7" t="s">
        <v>3276</v>
      </c>
    </row>
    <row r="70" spans="1:11" s="5" customFormat="1" ht="25.5">
      <c r="A70" s="14">
        <f t="shared" si="0"/>
        <v>66</v>
      </c>
      <c r="B70" s="14" t="s">
        <v>3303</v>
      </c>
      <c r="C70" s="9" t="s">
        <v>3280</v>
      </c>
      <c r="D70" s="8" t="s">
        <v>3304</v>
      </c>
      <c r="E70" s="37">
        <v>140000</v>
      </c>
      <c r="F70" s="7" t="s">
        <v>3298</v>
      </c>
      <c r="G70" s="7">
        <v>35</v>
      </c>
      <c r="H70" s="7" t="s">
        <v>3247</v>
      </c>
      <c r="I70" s="7" t="s">
        <v>3247</v>
      </c>
      <c r="J70" s="15" t="s">
        <v>2617</v>
      </c>
      <c r="K70" s="7" t="s">
        <v>3299</v>
      </c>
    </row>
    <row r="71" spans="1:11" s="5" customFormat="1" ht="37.5" customHeight="1">
      <c r="A71" s="14">
        <f aca="true" t="shared" si="1" ref="A71:A76">A70+1</f>
        <v>67</v>
      </c>
      <c r="B71" s="14" t="s">
        <v>3306</v>
      </c>
      <c r="C71" s="9" t="s">
        <v>3280</v>
      </c>
      <c r="D71" s="8" t="s">
        <v>3307</v>
      </c>
      <c r="E71" s="37">
        <v>787118</v>
      </c>
      <c r="F71" s="7" t="s">
        <v>1350</v>
      </c>
      <c r="G71" s="7">
        <v>35</v>
      </c>
      <c r="H71" s="7" t="s">
        <v>3283</v>
      </c>
      <c r="I71" s="7" t="s">
        <v>3283</v>
      </c>
      <c r="J71" s="8" t="s">
        <v>2618</v>
      </c>
      <c r="K71" s="7" t="s">
        <v>3300</v>
      </c>
    </row>
    <row r="72" spans="1:11" s="5" customFormat="1" ht="38.25">
      <c r="A72" s="14">
        <f t="shared" si="1"/>
        <v>68</v>
      </c>
      <c r="B72" s="14" t="s">
        <v>3308</v>
      </c>
      <c r="C72" s="9" t="s">
        <v>3244</v>
      </c>
      <c r="D72" s="8" t="s">
        <v>3309</v>
      </c>
      <c r="E72" s="37">
        <v>27192</v>
      </c>
      <c r="F72" s="10" t="s">
        <v>3245</v>
      </c>
      <c r="G72" s="7">
        <v>35</v>
      </c>
      <c r="H72" s="7" t="s">
        <v>3247</v>
      </c>
      <c r="I72" s="7" t="s">
        <v>3247</v>
      </c>
      <c r="J72" s="8" t="s">
        <v>2619</v>
      </c>
      <c r="K72" s="7" t="s">
        <v>3246</v>
      </c>
    </row>
    <row r="73" spans="1:11" s="5" customFormat="1" ht="25.5">
      <c r="A73" s="14">
        <f t="shared" si="1"/>
        <v>69</v>
      </c>
      <c r="B73" s="14" t="s">
        <v>3310</v>
      </c>
      <c r="C73" s="9" t="s">
        <v>3280</v>
      </c>
      <c r="D73" s="8" t="s">
        <v>3305</v>
      </c>
      <c r="E73" s="37">
        <v>32444.2</v>
      </c>
      <c r="F73" s="7" t="s">
        <v>3281</v>
      </c>
      <c r="G73" s="7">
        <v>35</v>
      </c>
      <c r="H73" s="7" t="s">
        <v>3283</v>
      </c>
      <c r="I73" s="7" t="s">
        <v>3283</v>
      </c>
      <c r="J73" s="8" t="s">
        <v>2620</v>
      </c>
      <c r="K73" s="7" t="s">
        <v>3282</v>
      </c>
    </row>
    <row r="74" spans="1:11" s="5" customFormat="1" ht="38.25">
      <c r="A74" s="14">
        <f t="shared" si="1"/>
        <v>70</v>
      </c>
      <c r="B74" s="14" t="s">
        <v>3310</v>
      </c>
      <c r="C74" s="9" t="s">
        <v>3286</v>
      </c>
      <c r="D74" s="8" t="s">
        <v>3311</v>
      </c>
      <c r="E74" s="37">
        <v>110766</v>
      </c>
      <c r="F74" s="7" t="s">
        <v>3312</v>
      </c>
      <c r="G74" s="7">
        <v>35</v>
      </c>
      <c r="H74" s="7" t="s">
        <v>3313</v>
      </c>
      <c r="I74" s="7" t="s">
        <v>3313</v>
      </c>
      <c r="J74" s="8" t="s">
        <v>2621</v>
      </c>
      <c r="K74" s="7" t="s">
        <v>3289</v>
      </c>
    </row>
    <row r="75" spans="1:11" s="5" customFormat="1" ht="25.5" customHeight="1">
      <c r="A75" s="14">
        <f t="shared" si="1"/>
        <v>71</v>
      </c>
      <c r="B75" s="14" t="s">
        <v>2607</v>
      </c>
      <c r="C75" s="9" t="s">
        <v>614</v>
      </c>
      <c r="D75" s="8" t="s">
        <v>2608</v>
      </c>
      <c r="E75" s="37">
        <v>233635.5</v>
      </c>
      <c r="F75" s="10" t="s">
        <v>232</v>
      </c>
      <c r="G75" s="7">
        <v>35</v>
      </c>
      <c r="H75" s="7" t="s">
        <v>616</v>
      </c>
      <c r="I75" s="7" t="s">
        <v>173</v>
      </c>
      <c r="J75" s="8" t="s">
        <v>3360</v>
      </c>
      <c r="K75" s="7" t="s">
        <v>615</v>
      </c>
    </row>
    <row r="76" spans="1:11" s="5" customFormat="1" ht="51.75" thickBot="1">
      <c r="A76" s="14">
        <f t="shared" si="1"/>
        <v>72</v>
      </c>
      <c r="B76" s="14" t="s">
        <v>2609</v>
      </c>
      <c r="C76" s="9" t="s">
        <v>3235</v>
      </c>
      <c r="D76" s="8" t="s">
        <v>2611</v>
      </c>
      <c r="E76" s="37">
        <v>217206</v>
      </c>
      <c r="F76" s="7" t="s">
        <v>1255</v>
      </c>
      <c r="G76" s="7">
        <v>35</v>
      </c>
      <c r="H76" s="7" t="s">
        <v>3237</v>
      </c>
      <c r="I76" s="7" t="s">
        <v>2612</v>
      </c>
      <c r="J76" s="8" t="s">
        <v>3361</v>
      </c>
      <c r="K76" s="7" t="s">
        <v>3236</v>
      </c>
    </row>
    <row r="77" spans="1:11" s="5" customFormat="1" ht="37.5" customHeight="1" thickBot="1">
      <c r="A77" s="14"/>
      <c r="B77" s="14"/>
      <c r="C77" s="9"/>
      <c r="D77" s="8"/>
      <c r="E77" s="37"/>
      <c r="F77" s="7"/>
      <c r="G77" s="7"/>
      <c r="H77" s="7"/>
      <c r="I77" s="7"/>
      <c r="J77" s="8"/>
      <c r="K77" s="7"/>
    </row>
    <row r="78" spans="1:11" s="5" customFormat="1" ht="14.25" thickBot="1" thickTop="1">
      <c r="A78" s="31"/>
      <c r="B78" s="31"/>
      <c r="C78" s="32"/>
      <c r="D78" s="33"/>
      <c r="E78" s="45">
        <f>SUM(E5:E77)</f>
        <v>25687363.00099999</v>
      </c>
      <c r="F78" s="34"/>
      <c r="G78" s="48">
        <f>AVERAGE(G5:G77)</f>
        <v>30.069444444444443</v>
      </c>
      <c r="H78" s="35"/>
      <c r="I78" s="35"/>
      <c r="J78" s="35"/>
      <c r="K78" s="35"/>
    </row>
    <row r="79" spans="1:11" s="5" customFormat="1" ht="12.75">
      <c r="A79" s="601"/>
      <c r="B79" s="628" t="s">
        <v>1663</v>
      </c>
      <c r="C79" s="628"/>
      <c r="D79" s="574" t="s">
        <v>3048</v>
      </c>
      <c r="E79" s="575">
        <f>SUM(E80:E81)</f>
        <v>2897920.7</v>
      </c>
      <c r="F79" s="576"/>
      <c r="G79" s="575">
        <f>SUM(G80:G81)</f>
        <v>240</v>
      </c>
      <c r="H79" s="576"/>
      <c r="I79" s="577"/>
      <c r="J79" s="562"/>
      <c r="K79" s="562"/>
    </row>
    <row r="80" spans="1:11" s="5" customFormat="1" ht="38.25">
      <c r="A80" s="603"/>
      <c r="B80" s="629" t="s">
        <v>3046</v>
      </c>
      <c r="C80" s="629"/>
      <c r="D80" s="15" t="s">
        <v>2291</v>
      </c>
      <c r="E80" s="37">
        <f>E41+E42+E65+E77</f>
        <v>1819342.7</v>
      </c>
      <c r="F80" s="10" t="s">
        <v>2356</v>
      </c>
      <c r="G80" s="37">
        <f>G41+G42+G65+G77</f>
        <v>90</v>
      </c>
      <c r="H80" s="7"/>
      <c r="I80" s="3"/>
      <c r="J80" s="8"/>
      <c r="K80" s="8"/>
    </row>
    <row r="81" spans="1:11" s="5" customFormat="1" ht="63.75">
      <c r="A81" s="603"/>
      <c r="B81" s="629" t="s">
        <v>1107</v>
      </c>
      <c r="C81" s="629"/>
      <c r="D81" s="8" t="s">
        <v>2293</v>
      </c>
      <c r="E81" s="37">
        <f>E17+E18+E19+E20+E21+E22</f>
        <v>1078578</v>
      </c>
      <c r="F81" s="10" t="s">
        <v>1155</v>
      </c>
      <c r="G81" s="37">
        <f>G17+G18+G19+G20+G21+G22</f>
        <v>150</v>
      </c>
      <c r="H81" s="7"/>
      <c r="I81" s="3"/>
      <c r="J81" s="8"/>
      <c r="K81" s="8"/>
    </row>
    <row r="82" spans="1:11" s="5" customFormat="1" ht="12.75">
      <c r="A82" s="603"/>
      <c r="B82" s="630" t="s">
        <v>1274</v>
      </c>
      <c r="C82" s="630"/>
      <c r="D82" s="9" t="s">
        <v>3044</v>
      </c>
      <c r="E82" s="39">
        <f>SUM(E83:E85)</f>
        <v>5252893.53</v>
      </c>
      <c r="F82" s="7"/>
      <c r="G82" s="39">
        <f>SUM(G83:G85)</f>
        <v>177</v>
      </c>
      <c r="H82" s="7"/>
      <c r="I82" s="3"/>
      <c r="J82" s="8"/>
      <c r="K82" s="8"/>
    </row>
    <row r="83" spans="1:11" s="5" customFormat="1" ht="12.75">
      <c r="A83" s="603"/>
      <c r="B83" s="629" t="s">
        <v>3038</v>
      </c>
      <c r="C83" s="629"/>
      <c r="D83" s="15" t="s">
        <v>2298</v>
      </c>
      <c r="E83" s="37">
        <f>E76</f>
        <v>217206</v>
      </c>
      <c r="F83" s="10" t="s">
        <v>232</v>
      </c>
      <c r="G83" s="37">
        <f>G76</f>
        <v>35</v>
      </c>
      <c r="H83" s="7"/>
      <c r="I83" s="3"/>
      <c r="J83" s="8"/>
      <c r="K83" s="8"/>
    </row>
    <row r="84" spans="1:11" s="5" customFormat="1" ht="38.25">
      <c r="A84" s="603"/>
      <c r="B84" s="629" t="s">
        <v>2355</v>
      </c>
      <c r="C84" s="629"/>
      <c r="D84" s="15" t="s">
        <v>2153</v>
      </c>
      <c r="E84" s="37">
        <f>E12+E26+E39</f>
        <v>4935823.53</v>
      </c>
      <c r="F84" s="10" t="s">
        <v>3049</v>
      </c>
      <c r="G84" s="37">
        <f>G12+G26+G39</f>
        <v>72</v>
      </c>
      <c r="H84" s="7"/>
      <c r="I84" s="3"/>
      <c r="J84" s="8"/>
      <c r="K84" s="8"/>
    </row>
    <row r="85" spans="1:11" s="5" customFormat="1" ht="51">
      <c r="A85" s="603"/>
      <c r="B85" s="629" t="s">
        <v>3040</v>
      </c>
      <c r="C85" s="629"/>
      <c r="D85" s="15" t="s">
        <v>2154</v>
      </c>
      <c r="E85" s="37">
        <f>E62+E72</f>
        <v>99864</v>
      </c>
      <c r="F85" s="10" t="s">
        <v>1154</v>
      </c>
      <c r="G85" s="37">
        <f>G62+G72</f>
        <v>70</v>
      </c>
      <c r="H85" s="7"/>
      <c r="I85" s="3"/>
      <c r="J85" s="8"/>
      <c r="K85" s="8"/>
    </row>
    <row r="86" spans="1:11" s="5" customFormat="1" ht="12.75">
      <c r="A86" s="603"/>
      <c r="B86" s="630" t="s">
        <v>1156</v>
      </c>
      <c r="C86" s="630"/>
      <c r="D86" s="9" t="s">
        <v>3033</v>
      </c>
      <c r="E86" s="39">
        <f>SUM(E87:E89)</f>
        <v>6295250.99</v>
      </c>
      <c r="F86" s="7"/>
      <c r="G86" s="39">
        <f>SUM(G87:G89)</f>
        <v>432</v>
      </c>
      <c r="H86" s="7"/>
      <c r="I86" s="3"/>
      <c r="J86" s="8"/>
      <c r="K86" s="8"/>
    </row>
    <row r="87" spans="1:11" s="5" customFormat="1" ht="25.5">
      <c r="A87" s="603"/>
      <c r="B87" s="629" t="s">
        <v>2358</v>
      </c>
      <c r="C87" s="629"/>
      <c r="D87" s="15" t="s">
        <v>2294</v>
      </c>
      <c r="E87" s="37">
        <f>SUM(E9,E14,E15,E60,E67,E68)</f>
        <v>3735361.29</v>
      </c>
      <c r="F87" s="10" t="s">
        <v>2357</v>
      </c>
      <c r="G87" s="37">
        <f>SUM(G9,G14,G15,G60,G67,G68)</f>
        <v>187</v>
      </c>
      <c r="H87" s="7"/>
      <c r="I87" s="3"/>
      <c r="J87" s="8"/>
      <c r="K87" s="8"/>
    </row>
    <row r="88" spans="1:11" s="5" customFormat="1" ht="12.75">
      <c r="A88" s="603"/>
      <c r="B88" s="629" t="s">
        <v>3038</v>
      </c>
      <c r="C88" s="629"/>
      <c r="D88" s="8" t="s">
        <v>2296</v>
      </c>
      <c r="E88" s="37">
        <f>E73</f>
        <v>32444.2</v>
      </c>
      <c r="F88" s="7" t="s">
        <v>3281</v>
      </c>
      <c r="G88" s="37">
        <f>G73</f>
        <v>35</v>
      </c>
      <c r="H88" s="7"/>
      <c r="I88" s="3"/>
      <c r="J88" s="8"/>
      <c r="K88" s="8"/>
    </row>
    <row r="89" spans="1:11" s="5" customFormat="1" ht="51">
      <c r="A89" s="603"/>
      <c r="B89" s="629" t="s">
        <v>3364</v>
      </c>
      <c r="C89" s="629"/>
      <c r="D89" s="27" t="s">
        <v>2297</v>
      </c>
      <c r="E89" s="37">
        <f>E10+E11+E28+E46+E63+E70+E71</f>
        <v>2527445.5</v>
      </c>
      <c r="F89" s="10" t="s">
        <v>3050</v>
      </c>
      <c r="G89" s="37">
        <f>G10+G11+G28+G46+G63+G70+G71</f>
        <v>210</v>
      </c>
      <c r="H89" s="7"/>
      <c r="I89" s="3"/>
      <c r="J89" s="8"/>
      <c r="K89" s="8"/>
    </row>
    <row r="90" spans="1:11" s="5" customFormat="1" ht="12.75">
      <c r="A90" s="603"/>
      <c r="B90" s="630" t="s">
        <v>1664</v>
      </c>
      <c r="C90" s="630"/>
      <c r="D90" s="9" t="s">
        <v>3034</v>
      </c>
      <c r="E90" s="39">
        <f>SUM(E91:E93)</f>
        <v>501399.91</v>
      </c>
      <c r="F90" s="7"/>
      <c r="G90" s="39">
        <f>SUM(G91:G93)</f>
        <v>120</v>
      </c>
      <c r="H90" s="7"/>
      <c r="I90" s="3"/>
      <c r="J90" s="8"/>
      <c r="K90" s="8"/>
    </row>
    <row r="91" spans="1:11" s="5" customFormat="1" ht="25.5">
      <c r="A91" s="603"/>
      <c r="B91" s="629" t="s">
        <v>3038</v>
      </c>
      <c r="C91" s="629"/>
      <c r="D91" s="8" t="s">
        <v>2156</v>
      </c>
      <c r="E91" s="37">
        <f>E38</f>
        <v>104000</v>
      </c>
      <c r="F91" s="10" t="str">
        <f>F38</f>
        <v>кварц-фелдшпатови пясъчници</v>
      </c>
      <c r="G91" s="37">
        <f>G38</f>
        <v>25</v>
      </c>
      <c r="H91" s="7"/>
      <c r="I91" s="3"/>
      <c r="J91" s="8"/>
      <c r="K91" s="8"/>
    </row>
    <row r="92" spans="1:11" s="5" customFormat="1" ht="12.75">
      <c r="A92" s="603"/>
      <c r="B92" s="629" t="s">
        <v>3038</v>
      </c>
      <c r="C92" s="629"/>
      <c r="D92" s="15" t="s">
        <v>2157</v>
      </c>
      <c r="E92" s="37">
        <f>E16</f>
        <v>133700</v>
      </c>
      <c r="F92" s="46" t="str">
        <f>F16</f>
        <v>кварцити</v>
      </c>
      <c r="G92" s="37">
        <f>G16</f>
        <v>35</v>
      </c>
      <c r="H92" s="7"/>
      <c r="I92" s="3"/>
      <c r="J92" s="8"/>
      <c r="K92" s="8"/>
    </row>
    <row r="93" spans="1:11" s="5" customFormat="1" ht="25.5">
      <c r="A93" s="603"/>
      <c r="B93" s="629" t="s">
        <v>3040</v>
      </c>
      <c r="C93" s="629"/>
      <c r="D93" s="15" t="s">
        <v>2159</v>
      </c>
      <c r="E93" s="37">
        <f>E34+E44</f>
        <v>263699.91</v>
      </c>
      <c r="F93" s="36" t="s">
        <v>3047</v>
      </c>
      <c r="G93" s="37">
        <f>G34+G44</f>
        <v>60</v>
      </c>
      <c r="H93" s="7"/>
      <c r="I93" s="3"/>
      <c r="J93" s="8"/>
      <c r="K93" s="8"/>
    </row>
    <row r="94" spans="1:11" s="5" customFormat="1" ht="12.75">
      <c r="A94" s="603"/>
      <c r="B94" s="630" t="s">
        <v>1665</v>
      </c>
      <c r="C94" s="630"/>
      <c r="D94" s="9" t="s">
        <v>761</v>
      </c>
      <c r="E94" s="39">
        <f>SUM(E95:E98)</f>
        <v>3949176.1810000003</v>
      </c>
      <c r="F94" s="7"/>
      <c r="G94" s="39">
        <f>SUM(G97:G98)</f>
        <v>279</v>
      </c>
      <c r="H94" s="7"/>
      <c r="I94" s="3"/>
      <c r="J94" s="8"/>
      <c r="K94" s="8"/>
    </row>
    <row r="95" spans="1:11" s="5" customFormat="1" ht="12.75">
      <c r="A95" s="603"/>
      <c r="B95" s="629" t="s">
        <v>3038</v>
      </c>
      <c r="C95" s="629"/>
      <c r="D95" s="15" t="s">
        <v>762</v>
      </c>
      <c r="E95" s="37">
        <f>E35</f>
        <v>2547.821</v>
      </c>
      <c r="F95" s="46" t="str">
        <f>F35</f>
        <v>баритна суровина</v>
      </c>
      <c r="G95" s="37">
        <f>G35</f>
        <v>12</v>
      </c>
      <c r="H95" s="7"/>
      <c r="I95" s="3"/>
      <c r="J95" s="8"/>
      <c r="K95" s="8"/>
    </row>
    <row r="96" spans="1:11" s="5" customFormat="1" ht="25.5">
      <c r="A96" s="603"/>
      <c r="B96" s="629" t="s">
        <v>3038</v>
      </c>
      <c r="C96" s="629"/>
      <c r="D96" s="15" t="s">
        <v>763</v>
      </c>
      <c r="E96" s="37">
        <f>E56</f>
        <v>270012</v>
      </c>
      <c r="F96" s="36" t="str">
        <f>F56</f>
        <v>доломити за металургията</v>
      </c>
      <c r="G96" s="37">
        <f>G56</f>
        <v>35</v>
      </c>
      <c r="H96" s="7"/>
      <c r="I96" s="3"/>
      <c r="J96" s="8"/>
      <c r="K96" s="8"/>
    </row>
    <row r="97" spans="1:11" s="5" customFormat="1" ht="38.25">
      <c r="A97" s="603"/>
      <c r="B97" s="629" t="s">
        <v>3040</v>
      </c>
      <c r="C97" s="629"/>
      <c r="D97" s="15" t="s">
        <v>764</v>
      </c>
      <c r="E97" s="37">
        <f>E13+E31</f>
        <v>715759.5</v>
      </c>
      <c r="F97" s="36" t="s">
        <v>3045</v>
      </c>
      <c r="G97" s="37">
        <f>G13+G31</f>
        <v>70</v>
      </c>
      <c r="H97" s="7"/>
      <c r="I97" s="3"/>
      <c r="J97" s="8"/>
      <c r="K97" s="8"/>
    </row>
    <row r="98" spans="1:11" s="5" customFormat="1" ht="63.75">
      <c r="A98" s="603"/>
      <c r="B98" s="629" t="s">
        <v>1272</v>
      </c>
      <c r="C98" s="629"/>
      <c r="D98" s="8" t="s">
        <v>3032</v>
      </c>
      <c r="E98" s="37">
        <f>E43+E45+E49+E52+E53+E58+E64+E69</f>
        <v>2960856.8600000003</v>
      </c>
      <c r="F98" s="36" t="s">
        <v>2359</v>
      </c>
      <c r="G98" s="37">
        <f>G43+G45+G49+G52+G53+G58+G64+G69</f>
        <v>209</v>
      </c>
      <c r="H98" s="7"/>
      <c r="I98" s="3"/>
      <c r="J98" s="8"/>
      <c r="K98" s="8"/>
    </row>
    <row r="99" spans="1:11" s="5" customFormat="1" ht="12.75">
      <c r="A99" s="603"/>
      <c r="B99" s="630" t="s">
        <v>3373</v>
      </c>
      <c r="C99" s="630"/>
      <c r="D99" s="6" t="s">
        <v>3025</v>
      </c>
      <c r="E99" s="39">
        <f>SUM(E100:E102)</f>
        <v>6790721.6899999995</v>
      </c>
      <c r="F99" s="7"/>
      <c r="G99" s="39">
        <f>SUM(G100:G102)</f>
        <v>870</v>
      </c>
      <c r="H99" s="7"/>
      <c r="I99" s="3"/>
      <c r="J99" s="8"/>
      <c r="K99" s="8"/>
    </row>
    <row r="100" spans="1:11" s="5" customFormat="1" ht="38.25">
      <c r="A100" s="603"/>
      <c r="B100" s="629" t="s">
        <v>3043</v>
      </c>
      <c r="C100" s="629"/>
      <c r="D100" s="27" t="s">
        <v>3026</v>
      </c>
      <c r="E100" s="37">
        <f>E5+E6+E7+E8+E30+E66</f>
        <v>1848271.558</v>
      </c>
      <c r="F100" s="36" t="s">
        <v>2353</v>
      </c>
      <c r="G100" s="37">
        <f>G5+G6+G7+G8+G30+G66</f>
        <v>210</v>
      </c>
      <c r="H100" s="7"/>
      <c r="I100" s="3"/>
      <c r="J100" s="8"/>
      <c r="K100" s="8"/>
    </row>
    <row r="101" spans="1:11" s="5" customFormat="1" ht="51">
      <c r="A101" s="603"/>
      <c r="B101" s="629" t="s">
        <v>3046</v>
      </c>
      <c r="C101" s="629"/>
      <c r="D101" s="27" t="s">
        <v>3027</v>
      </c>
      <c r="E101" s="37">
        <f>E40+E51+E54+E55</f>
        <v>1088592.9</v>
      </c>
      <c r="F101" s="36" t="s">
        <v>2352</v>
      </c>
      <c r="G101" s="37">
        <f>G40+G51+G54+G55</f>
        <v>110</v>
      </c>
      <c r="H101" s="7"/>
      <c r="I101" s="3"/>
      <c r="J101" s="8"/>
      <c r="K101" s="8"/>
    </row>
    <row r="102" spans="1:11" s="5" customFormat="1" ht="102.75" thickBot="1">
      <c r="A102" s="604"/>
      <c r="B102" s="631" t="s">
        <v>3374</v>
      </c>
      <c r="C102" s="631"/>
      <c r="D102" s="26" t="s">
        <v>3030</v>
      </c>
      <c r="E102" s="38">
        <f>E23+E24+E25+E27+E29+E32+E33+E36+E37+E47+E48+E50+E57+E59+E61+E74+E75</f>
        <v>3853857.2320000003</v>
      </c>
      <c r="F102" s="599" t="s">
        <v>1106</v>
      </c>
      <c r="G102" s="38">
        <f>G23+G24+G25+G27+G29+G32+G33+G36+G37+G47+G48+G50+G57+G59+G61+G74+G75</f>
        <v>550</v>
      </c>
      <c r="H102" s="29"/>
      <c r="I102" s="30"/>
      <c r="J102" s="28"/>
      <c r="K102" s="28"/>
    </row>
    <row r="103" spans="1:11" s="5" customFormat="1" ht="14.25" thickBot="1" thickTop="1">
      <c r="A103" s="33"/>
      <c r="B103" s="632" t="s">
        <v>3375</v>
      </c>
      <c r="C103" s="633"/>
      <c r="D103" s="33"/>
      <c r="E103" s="45">
        <f>E79+E82+E86+E90+E94+E99</f>
        <v>25687363.001000002</v>
      </c>
      <c r="F103" s="34"/>
      <c r="G103" s="45">
        <f>G79+G82+G86+G90+G94+G99</f>
        <v>2118</v>
      </c>
      <c r="H103" s="34"/>
      <c r="I103" s="35"/>
      <c r="J103" s="33"/>
      <c r="K103" s="33"/>
    </row>
    <row r="106" spans="2:12" s="5" customFormat="1" ht="12.75">
      <c r="B106" s="627" t="s">
        <v>468</v>
      </c>
      <c r="C106" s="627"/>
      <c r="D106" s="627"/>
      <c r="E106" s="627"/>
      <c r="F106" s="627"/>
      <c r="G106" s="627"/>
      <c r="H106" s="627"/>
      <c r="I106" s="627"/>
      <c r="J106" s="627"/>
      <c r="K106" s="627"/>
      <c r="L106" s="627"/>
    </row>
    <row r="107" spans="2:12" s="5" customFormat="1" ht="12.75">
      <c r="B107" s="627" t="s">
        <v>1238</v>
      </c>
      <c r="C107" s="627"/>
      <c r="D107" s="627"/>
      <c r="E107" s="627"/>
      <c r="F107" s="627"/>
      <c r="G107" s="627"/>
      <c r="H107" s="627"/>
      <c r="I107" s="627"/>
      <c r="J107" s="627"/>
      <c r="K107" s="627"/>
      <c r="L107" s="627"/>
    </row>
    <row r="109" spans="1:12" s="5" customFormat="1" ht="64.5" thickBot="1">
      <c r="A109" s="11" t="s">
        <v>1096</v>
      </c>
      <c r="B109" s="11" t="s">
        <v>1271</v>
      </c>
      <c r="C109" s="12" t="s">
        <v>481</v>
      </c>
      <c r="D109" s="12" t="s">
        <v>477</v>
      </c>
      <c r="E109" s="13" t="s">
        <v>160</v>
      </c>
      <c r="F109" s="13" t="s">
        <v>1104</v>
      </c>
      <c r="G109" s="11" t="s">
        <v>1765</v>
      </c>
      <c r="H109" s="13" t="s">
        <v>1764</v>
      </c>
      <c r="I109" s="13" t="s">
        <v>3066</v>
      </c>
      <c r="J109" s="11" t="s">
        <v>3071</v>
      </c>
      <c r="K109" s="634" t="s">
        <v>2399</v>
      </c>
      <c r="L109" s="635"/>
    </row>
    <row r="110" spans="1:12" s="5" customFormat="1" ht="26.25" thickTop="1">
      <c r="A110" s="3">
        <v>1</v>
      </c>
      <c r="B110" s="14" t="s">
        <v>2405</v>
      </c>
      <c r="C110" s="9" t="s">
        <v>469</v>
      </c>
      <c r="D110" s="8" t="s">
        <v>3093</v>
      </c>
      <c r="E110" s="17">
        <v>422750</v>
      </c>
      <c r="F110" s="7" t="s">
        <v>3357</v>
      </c>
      <c r="G110" s="7">
        <v>26</v>
      </c>
      <c r="H110" s="10" t="s">
        <v>1867</v>
      </c>
      <c r="I110" s="14" t="s">
        <v>3079</v>
      </c>
      <c r="J110" s="8" t="s">
        <v>3076</v>
      </c>
      <c r="K110" s="645" t="s">
        <v>470</v>
      </c>
      <c r="L110" s="646"/>
    </row>
    <row r="111" spans="1:12" s="5" customFormat="1" ht="25.5">
      <c r="A111" s="14">
        <f aca="true" t="shared" si="2" ref="A111:A116">A110+1</f>
        <v>2</v>
      </c>
      <c r="B111" s="14" t="s">
        <v>471</v>
      </c>
      <c r="C111" s="9" t="s">
        <v>469</v>
      </c>
      <c r="D111" s="8" t="s">
        <v>472</v>
      </c>
      <c r="E111" s="17">
        <v>270012</v>
      </c>
      <c r="F111" s="7" t="s">
        <v>1418</v>
      </c>
      <c r="G111" s="7">
        <v>34</v>
      </c>
      <c r="H111" s="7" t="s">
        <v>1867</v>
      </c>
      <c r="I111" s="14" t="s">
        <v>3079</v>
      </c>
      <c r="J111" s="8" t="s">
        <v>3073</v>
      </c>
      <c r="K111" s="643" t="s">
        <v>2400</v>
      </c>
      <c r="L111" s="644"/>
    </row>
    <row r="112" spans="1:12" s="5" customFormat="1" ht="12.75">
      <c r="A112" s="14">
        <f t="shared" si="2"/>
        <v>3</v>
      </c>
      <c r="B112" s="14" t="s">
        <v>509</v>
      </c>
      <c r="C112" s="9" t="s">
        <v>515</v>
      </c>
      <c r="D112" s="8" t="s">
        <v>511</v>
      </c>
      <c r="E112" s="37"/>
      <c r="F112" s="7" t="s">
        <v>514</v>
      </c>
      <c r="G112" s="7">
        <v>35</v>
      </c>
      <c r="H112" s="7" t="s">
        <v>512</v>
      </c>
      <c r="I112" s="3" t="s">
        <v>513</v>
      </c>
      <c r="J112" s="8" t="s">
        <v>510</v>
      </c>
      <c r="K112" s="641"/>
      <c r="L112" s="642"/>
    </row>
    <row r="113" spans="1:12" s="5" customFormat="1" ht="25.5">
      <c r="A113" s="14">
        <f t="shared" si="2"/>
        <v>4</v>
      </c>
      <c r="B113" s="14" t="s">
        <v>3322</v>
      </c>
      <c r="C113" s="9" t="s">
        <v>3324</v>
      </c>
      <c r="D113" s="8" t="s">
        <v>3325</v>
      </c>
      <c r="E113" s="10" t="s">
        <v>1447</v>
      </c>
      <c r="F113" s="7" t="s">
        <v>3323</v>
      </c>
      <c r="G113" s="7">
        <v>25</v>
      </c>
      <c r="H113" s="7" t="s">
        <v>2091</v>
      </c>
      <c r="I113" s="14" t="s">
        <v>3078</v>
      </c>
      <c r="J113" s="8" t="s">
        <v>3077</v>
      </c>
      <c r="K113" s="643" t="s">
        <v>3326</v>
      </c>
      <c r="L113" s="644"/>
    </row>
    <row r="114" spans="1:12" s="5" customFormat="1" ht="25.5">
      <c r="A114" s="14">
        <f t="shared" si="2"/>
        <v>5</v>
      </c>
      <c r="B114" s="14" t="s">
        <v>545</v>
      </c>
      <c r="C114" s="9" t="s">
        <v>1343</v>
      </c>
      <c r="D114" s="8" t="s">
        <v>1342</v>
      </c>
      <c r="E114" s="47" t="s">
        <v>1447</v>
      </c>
      <c r="F114" s="7" t="s">
        <v>1341</v>
      </c>
      <c r="G114" s="7">
        <v>35</v>
      </c>
      <c r="H114" s="7" t="s">
        <v>1340</v>
      </c>
      <c r="I114" s="7" t="s">
        <v>1340</v>
      </c>
      <c r="J114" s="8" t="s">
        <v>1344</v>
      </c>
      <c r="K114" s="641"/>
      <c r="L114" s="642"/>
    </row>
    <row r="115" spans="1:12" s="5" customFormat="1" ht="38.25">
      <c r="A115" s="14">
        <f t="shared" si="2"/>
        <v>6</v>
      </c>
      <c r="B115" s="14" t="s">
        <v>568</v>
      </c>
      <c r="C115" s="9" t="s">
        <v>2178</v>
      </c>
      <c r="D115" s="8" t="s">
        <v>2175</v>
      </c>
      <c r="E115" s="37">
        <v>40700</v>
      </c>
      <c r="F115" s="10" t="s">
        <v>2176</v>
      </c>
      <c r="G115" s="7">
        <v>35</v>
      </c>
      <c r="H115" s="7" t="s">
        <v>2177</v>
      </c>
      <c r="I115" s="7" t="s">
        <v>2177</v>
      </c>
      <c r="J115" s="15" t="s">
        <v>2174</v>
      </c>
      <c r="K115" s="643" t="s">
        <v>3326</v>
      </c>
      <c r="L115" s="644"/>
    </row>
    <row r="116" spans="1:12" s="5" customFormat="1" ht="25.5">
      <c r="A116" s="14">
        <f t="shared" si="2"/>
        <v>7</v>
      </c>
      <c r="B116" s="14" t="s">
        <v>3123</v>
      </c>
      <c r="C116" s="9" t="s">
        <v>3088</v>
      </c>
      <c r="D116" s="8" t="s">
        <v>3065</v>
      </c>
      <c r="E116" s="37">
        <v>7700</v>
      </c>
      <c r="F116" s="10" t="s">
        <v>2347</v>
      </c>
      <c r="G116" s="7">
        <v>10</v>
      </c>
      <c r="H116" s="7" t="s">
        <v>3087</v>
      </c>
      <c r="I116" s="7" t="s">
        <v>3087</v>
      </c>
      <c r="J116" s="8" t="s">
        <v>3086</v>
      </c>
      <c r="K116" s="641"/>
      <c r="L116" s="642"/>
    </row>
    <row r="117" spans="1:12" ht="25.5" customHeight="1">
      <c r="A117" s="14">
        <v>8</v>
      </c>
      <c r="B117" s="14" t="s">
        <v>3314</v>
      </c>
      <c r="C117" s="9" t="s">
        <v>2606</v>
      </c>
      <c r="D117" s="8" t="s">
        <v>2605</v>
      </c>
      <c r="E117" s="37">
        <f>0.064*1000^2</f>
        <v>64000</v>
      </c>
      <c r="F117" s="7" t="s">
        <v>3294</v>
      </c>
      <c r="G117" s="7">
        <v>15</v>
      </c>
      <c r="H117" s="7" t="s">
        <v>3296</v>
      </c>
      <c r="I117" s="7" t="s">
        <v>3296</v>
      </c>
      <c r="J117" s="8" t="s">
        <v>2622</v>
      </c>
      <c r="K117" s="643" t="s">
        <v>3326</v>
      </c>
      <c r="L117" s="644"/>
    </row>
    <row r="118" spans="1:2" ht="12.75">
      <c r="A118" s="5"/>
      <c r="B118" s="5"/>
    </row>
    <row r="122" ht="12.75">
      <c r="C122" s="24" t="s">
        <v>3080</v>
      </c>
    </row>
    <row r="123" ht="12.75">
      <c r="C123" s="567" t="s">
        <v>3085</v>
      </c>
    </row>
  </sheetData>
  <sheetProtection/>
  <mergeCells count="38">
    <mergeCell ref="A1:I1"/>
    <mergeCell ref="A2:I2"/>
    <mergeCell ref="B81:C81"/>
    <mergeCell ref="B79:C79"/>
    <mergeCell ref="B80:C80"/>
    <mergeCell ref="B91:C91"/>
    <mergeCell ref="B82:C82"/>
    <mergeCell ref="B86:C86"/>
    <mergeCell ref="B90:C90"/>
    <mergeCell ref="B85:C85"/>
    <mergeCell ref="B92:C92"/>
    <mergeCell ref="B106:L106"/>
    <mergeCell ref="B107:L107"/>
    <mergeCell ref="B99:C99"/>
    <mergeCell ref="B100:C100"/>
    <mergeCell ref="B103:C103"/>
    <mergeCell ref="B102:C102"/>
    <mergeCell ref="B101:C101"/>
    <mergeCell ref="B93:C93"/>
    <mergeCell ref="B87:C87"/>
    <mergeCell ref="B89:C89"/>
    <mergeCell ref="B84:C84"/>
    <mergeCell ref="B88:C88"/>
    <mergeCell ref="B83:C83"/>
    <mergeCell ref="B98:C98"/>
    <mergeCell ref="B94:C94"/>
    <mergeCell ref="B97:C97"/>
    <mergeCell ref="B95:C95"/>
    <mergeCell ref="B96:C96"/>
    <mergeCell ref="K116:L116"/>
    <mergeCell ref="K112:L112"/>
    <mergeCell ref="K117:L117"/>
    <mergeCell ref="K109:L109"/>
    <mergeCell ref="K110:L110"/>
    <mergeCell ref="K111:L111"/>
    <mergeCell ref="K113:L113"/>
    <mergeCell ref="K114:L114"/>
    <mergeCell ref="K115:L115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80" r:id="rId1"/>
  <rowBreaks count="2" manualBreakCount="2">
    <brk id="78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7109375" style="1" customWidth="1"/>
    <col min="2" max="2" width="8.7109375" style="2" customWidth="1"/>
    <col min="3" max="4" width="25.7109375" style="2" customWidth="1"/>
    <col min="5" max="5" width="11.7109375" style="2" hidden="1" customWidth="1"/>
    <col min="6" max="6" width="20.7109375" style="2" customWidth="1"/>
    <col min="7" max="7" width="10.7109375" style="2" customWidth="1"/>
    <col min="8" max="9" width="15.7109375" style="2" customWidth="1"/>
    <col min="10" max="10" width="20.7109375" style="2" customWidth="1"/>
    <col min="11" max="11" width="9.7109375" style="2" customWidth="1"/>
    <col min="12" max="16384" width="9.140625" style="1" customWidth="1"/>
  </cols>
  <sheetData>
    <row r="1" spans="1:11" ht="12.75" customHeight="1">
      <c r="A1" s="627" t="s">
        <v>883</v>
      </c>
      <c r="B1" s="627"/>
      <c r="C1" s="627"/>
      <c r="D1" s="627"/>
      <c r="E1" s="627"/>
      <c r="F1" s="627"/>
      <c r="G1" s="627"/>
      <c r="H1" s="627"/>
      <c r="I1" s="627"/>
      <c r="K1" s="57" t="s">
        <v>2128</v>
      </c>
    </row>
    <row r="2" spans="1:11" ht="12.75" customHeight="1">
      <c r="A2" s="627" t="s">
        <v>882</v>
      </c>
      <c r="B2" s="627"/>
      <c r="C2" s="627"/>
      <c r="D2" s="627"/>
      <c r="E2" s="627"/>
      <c r="F2" s="627"/>
      <c r="G2" s="627"/>
      <c r="H2" s="627"/>
      <c r="I2" s="627"/>
      <c r="J2" s="18"/>
      <c r="K2" s="19"/>
    </row>
    <row r="3" spans="2:11" ht="12.75" customHeight="1">
      <c r="B3" s="18"/>
      <c r="C3" s="19"/>
      <c r="D3" s="19"/>
      <c r="E3" s="19"/>
      <c r="F3" s="19"/>
      <c r="G3" s="19"/>
      <c r="H3" s="19"/>
      <c r="I3" s="19"/>
      <c r="J3" s="19"/>
      <c r="K3" s="19"/>
    </row>
    <row r="4" spans="1:11" ht="51.75" customHeight="1" thickBot="1">
      <c r="A4" s="11" t="s">
        <v>1096</v>
      </c>
      <c r="B4" s="11" t="s">
        <v>1271</v>
      </c>
      <c r="C4" s="12" t="s">
        <v>481</v>
      </c>
      <c r="D4" s="12" t="s">
        <v>477</v>
      </c>
      <c r="E4" s="13" t="s">
        <v>160</v>
      </c>
      <c r="F4" s="13" t="s">
        <v>1104</v>
      </c>
      <c r="G4" s="11" t="s">
        <v>1765</v>
      </c>
      <c r="H4" s="13" t="s">
        <v>1764</v>
      </c>
      <c r="I4" s="13" t="s">
        <v>159</v>
      </c>
      <c r="J4" s="11" t="s">
        <v>2321</v>
      </c>
      <c r="K4" s="560" t="s">
        <v>582</v>
      </c>
    </row>
    <row r="5" spans="1:11" ht="25.5" customHeight="1" thickTop="1">
      <c r="A5" s="3">
        <v>1</v>
      </c>
      <c r="B5" s="14" t="s">
        <v>3137</v>
      </c>
      <c r="C5" s="22" t="s">
        <v>329</v>
      </c>
      <c r="D5" s="8" t="s">
        <v>2083</v>
      </c>
      <c r="E5" s="8"/>
      <c r="F5" s="7" t="s">
        <v>3358</v>
      </c>
      <c r="G5" s="7">
        <v>25</v>
      </c>
      <c r="H5" s="7" t="s">
        <v>3138</v>
      </c>
      <c r="I5" s="7" t="s">
        <v>3138</v>
      </c>
      <c r="J5" s="15" t="s">
        <v>3136</v>
      </c>
      <c r="K5" s="7" t="s">
        <v>308</v>
      </c>
    </row>
    <row r="6" spans="1:11" ht="25.5" customHeight="1">
      <c r="A6" s="14">
        <f>A5+1</f>
        <v>2</v>
      </c>
      <c r="B6" s="14" t="s">
        <v>3140</v>
      </c>
      <c r="C6" s="22" t="s">
        <v>2896</v>
      </c>
      <c r="D6" s="21" t="s">
        <v>3142</v>
      </c>
      <c r="E6" s="21"/>
      <c r="F6" s="3" t="s">
        <v>3141</v>
      </c>
      <c r="G6" s="7">
        <v>17</v>
      </c>
      <c r="H6" s="7" t="s">
        <v>3143</v>
      </c>
      <c r="I6" s="7" t="s">
        <v>3143</v>
      </c>
      <c r="J6" s="15" t="s">
        <v>3139</v>
      </c>
      <c r="K6" s="7" t="s">
        <v>307</v>
      </c>
    </row>
    <row r="7" spans="1:11" ht="25.5" customHeight="1">
      <c r="A7" s="14">
        <f aca="true" t="shared" si="0" ref="A7:A22">A6+1</f>
        <v>3</v>
      </c>
      <c r="B7" s="14" t="s">
        <v>3144</v>
      </c>
      <c r="C7" s="22" t="s">
        <v>2896</v>
      </c>
      <c r="D7" s="8" t="s">
        <v>1218</v>
      </c>
      <c r="E7" s="8"/>
      <c r="F7" s="3" t="s">
        <v>3141</v>
      </c>
      <c r="G7" s="7">
        <v>10</v>
      </c>
      <c r="H7" s="10" t="s">
        <v>1219</v>
      </c>
      <c r="I7" s="10" t="s">
        <v>1219</v>
      </c>
      <c r="J7" s="15" t="s">
        <v>1217</v>
      </c>
      <c r="K7" s="7" t="s">
        <v>313</v>
      </c>
    </row>
    <row r="8" spans="1:11" ht="25.5" customHeight="1">
      <c r="A8" s="14">
        <f t="shared" si="0"/>
        <v>4</v>
      </c>
      <c r="B8" s="14" t="s">
        <v>3145</v>
      </c>
      <c r="C8" s="22" t="s">
        <v>2896</v>
      </c>
      <c r="D8" s="8" t="s">
        <v>1095</v>
      </c>
      <c r="E8" s="8"/>
      <c r="F8" s="7" t="s">
        <v>3359</v>
      </c>
      <c r="G8" s="7">
        <v>18</v>
      </c>
      <c r="H8" s="7" t="s">
        <v>3143</v>
      </c>
      <c r="I8" s="7" t="s">
        <v>3143</v>
      </c>
      <c r="J8" s="15" t="s">
        <v>1220</v>
      </c>
      <c r="K8" s="7" t="s">
        <v>307</v>
      </c>
    </row>
    <row r="9" spans="1:11" ht="25.5" customHeight="1">
      <c r="A9" s="14">
        <f t="shared" si="0"/>
        <v>5</v>
      </c>
      <c r="B9" s="14" t="s">
        <v>3146</v>
      </c>
      <c r="C9" s="22" t="s">
        <v>2896</v>
      </c>
      <c r="D9" s="8" t="s">
        <v>1222</v>
      </c>
      <c r="E9" s="8"/>
      <c r="F9" s="3" t="s">
        <v>3141</v>
      </c>
      <c r="G9" s="7">
        <v>7</v>
      </c>
      <c r="H9" s="7" t="s">
        <v>1223</v>
      </c>
      <c r="I9" s="7" t="s">
        <v>1223</v>
      </c>
      <c r="J9" s="15" t="s">
        <v>1221</v>
      </c>
      <c r="K9" s="7" t="s">
        <v>316</v>
      </c>
    </row>
    <row r="10" spans="1:11" ht="25.5" customHeight="1">
      <c r="A10" s="14">
        <f t="shared" si="0"/>
        <v>6</v>
      </c>
      <c r="B10" s="14" t="s">
        <v>3147</v>
      </c>
      <c r="C10" s="22" t="s">
        <v>2896</v>
      </c>
      <c r="D10" s="8" t="s">
        <v>1225</v>
      </c>
      <c r="E10" s="8"/>
      <c r="F10" s="7" t="s">
        <v>3359</v>
      </c>
      <c r="G10" s="7">
        <v>9</v>
      </c>
      <c r="H10" s="7" t="s">
        <v>3143</v>
      </c>
      <c r="I10" s="7" t="s">
        <v>3143</v>
      </c>
      <c r="J10" s="15" t="s">
        <v>1224</v>
      </c>
      <c r="K10" s="7" t="s">
        <v>307</v>
      </c>
    </row>
    <row r="11" spans="1:11" ht="25.5" customHeight="1">
      <c r="A11" s="14">
        <f t="shared" si="0"/>
        <v>7</v>
      </c>
      <c r="B11" s="14" t="s">
        <v>3148</v>
      </c>
      <c r="C11" s="22" t="s">
        <v>2896</v>
      </c>
      <c r="D11" s="8" t="s">
        <v>1094</v>
      </c>
      <c r="E11" s="8"/>
      <c r="F11" s="3" t="s">
        <v>3141</v>
      </c>
      <c r="G11" s="7">
        <v>9</v>
      </c>
      <c r="H11" s="7" t="s">
        <v>3143</v>
      </c>
      <c r="I11" s="7" t="s">
        <v>3143</v>
      </c>
      <c r="J11" s="15" t="s">
        <v>1226</v>
      </c>
      <c r="K11" s="7" t="s">
        <v>307</v>
      </c>
    </row>
    <row r="12" spans="1:11" ht="25.5" customHeight="1">
      <c r="A12" s="14">
        <f t="shared" si="0"/>
        <v>8</v>
      </c>
      <c r="B12" s="14" t="s">
        <v>3149</v>
      </c>
      <c r="C12" s="22" t="s">
        <v>2896</v>
      </c>
      <c r="D12" s="8" t="s">
        <v>1228</v>
      </c>
      <c r="E12" s="8"/>
      <c r="F12" s="7" t="s">
        <v>3359</v>
      </c>
      <c r="G12" s="7">
        <v>17</v>
      </c>
      <c r="H12" s="7" t="s">
        <v>3143</v>
      </c>
      <c r="I12" s="7" t="s">
        <v>3143</v>
      </c>
      <c r="J12" s="15" t="s">
        <v>1227</v>
      </c>
      <c r="K12" s="7" t="s">
        <v>307</v>
      </c>
    </row>
    <row r="13" spans="1:11" ht="25.5" customHeight="1">
      <c r="A13" s="14">
        <f t="shared" si="0"/>
        <v>9</v>
      </c>
      <c r="B13" s="14" t="s">
        <v>3150</v>
      </c>
      <c r="C13" s="22" t="s">
        <v>2896</v>
      </c>
      <c r="D13" s="8" t="s">
        <v>1799</v>
      </c>
      <c r="E13" s="8"/>
      <c r="F13" s="7" t="s">
        <v>3359</v>
      </c>
      <c r="G13" s="7">
        <v>13</v>
      </c>
      <c r="H13" s="7" t="s">
        <v>3143</v>
      </c>
      <c r="I13" s="7" t="s">
        <v>3143</v>
      </c>
      <c r="J13" s="15" t="s">
        <v>1229</v>
      </c>
      <c r="K13" s="7" t="s">
        <v>307</v>
      </c>
    </row>
    <row r="14" spans="1:11" ht="25.5" customHeight="1">
      <c r="A14" s="14">
        <f t="shared" si="0"/>
        <v>10</v>
      </c>
      <c r="B14" s="14" t="s">
        <v>3151</v>
      </c>
      <c r="C14" s="22" t="s">
        <v>2896</v>
      </c>
      <c r="D14" s="8" t="s">
        <v>1801</v>
      </c>
      <c r="E14" s="8"/>
      <c r="F14" s="7" t="s">
        <v>3359</v>
      </c>
      <c r="G14" s="7">
        <v>8</v>
      </c>
      <c r="H14" s="7" t="s">
        <v>3143</v>
      </c>
      <c r="I14" s="10" t="s">
        <v>173</v>
      </c>
      <c r="J14" s="15" t="s">
        <v>1800</v>
      </c>
      <c r="K14" s="7" t="s">
        <v>307</v>
      </c>
    </row>
    <row r="15" spans="1:11" ht="25.5" customHeight="1">
      <c r="A15" s="14">
        <f t="shared" si="0"/>
        <v>11</v>
      </c>
      <c r="B15" s="14" t="s">
        <v>3152</v>
      </c>
      <c r="C15" s="22" t="s">
        <v>2896</v>
      </c>
      <c r="D15" s="8" t="s">
        <v>2458</v>
      </c>
      <c r="E15" s="8"/>
      <c r="F15" s="7" t="s">
        <v>3358</v>
      </c>
      <c r="G15" s="7">
        <v>35</v>
      </c>
      <c r="H15" s="7" t="s">
        <v>3143</v>
      </c>
      <c r="I15" s="7" t="s">
        <v>3143</v>
      </c>
      <c r="J15" s="15" t="s">
        <v>1802</v>
      </c>
      <c r="K15" s="7" t="s">
        <v>307</v>
      </c>
    </row>
    <row r="16" spans="1:11" ht="25.5" customHeight="1">
      <c r="A16" s="14">
        <f t="shared" si="0"/>
        <v>12</v>
      </c>
      <c r="B16" s="14" t="s">
        <v>3153</v>
      </c>
      <c r="C16" s="22" t="s">
        <v>2896</v>
      </c>
      <c r="D16" s="8" t="s">
        <v>3022</v>
      </c>
      <c r="E16" s="8"/>
      <c r="F16" s="7" t="s">
        <v>3358</v>
      </c>
      <c r="G16" s="7">
        <v>7</v>
      </c>
      <c r="H16" s="7" t="s">
        <v>3023</v>
      </c>
      <c r="I16" s="7" t="s">
        <v>3023</v>
      </c>
      <c r="J16" s="15" t="s">
        <v>2459</v>
      </c>
      <c r="K16" s="7" t="s">
        <v>314</v>
      </c>
    </row>
    <row r="17" spans="1:11" ht="37.5" customHeight="1">
      <c r="A17" s="14">
        <f t="shared" si="0"/>
        <v>13</v>
      </c>
      <c r="B17" s="14" t="s">
        <v>3124</v>
      </c>
      <c r="C17" s="22" t="s">
        <v>2896</v>
      </c>
      <c r="D17" s="8" t="s">
        <v>2080</v>
      </c>
      <c r="E17" s="37"/>
      <c r="F17" s="7" t="s">
        <v>3359</v>
      </c>
      <c r="G17" s="7">
        <v>35</v>
      </c>
      <c r="H17" s="7" t="s">
        <v>3143</v>
      </c>
      <c r="I17" s="3" t="s">
        <v>2081</v>
      </c>
      <c r="J17" s="15" t="s">
        <v>3024</v>
      </c>
      <c r="K17" s="7" t="s">
        <v>315</v>
      </c>
    </row>
    <row r="18" spans="1:11" ht="25.5" customHeight="1">
      <c r="A18" s="14">
        <f t="shared" si="0"/>
        <v>14</v>
      </c>
      <c r="B18" s="14" t="s">
        <v>3154</v>
      </c>
      <c r="C18" s="22" t="s">
        <v>329</v>
      </c>
      <c r="D18" s="8" t="s">
        <v>2082</v>
      </c>
      <c r="E18" s="37">
        <f>4.36*1000^2</f>
        <v>4360000</v>
      </c>
      <c r="F18" s="7" t="s">
        <v>3358</v>
      </c>
      <c r="G18" s="7">
        <v>10</v>
      </c>
      <c r="H18" s="7" t="s">
        <v>2084</v>
      </c>
      <c r="I18" s="7" t="s">
        <v>2084</v>
      </c>
      <c r="J18" s="8" t="s">
        <v>2086</v>
      </c>
      <c r="K18" s="10"/>
    </row>
    <row r="19" spans="1:11" ht="25.5" customHeight="1">
      <c r="A19" s="14">
        <f t="shared" si="0"/>
        <v>15</v>
      </c>
      <c r="B19" s="14" t="s">
        <v>1216</v>
      </c>
      <c r="C19" s="22" t="s">
        <v>329</v>
      </c>
      <c r="D19" s="8" t="s">
        <v>2087</v>
      </c>
      <c r="E19" s="37">
        <f>18.9895*1000^2</f>
        <v>18989500</v>
      </c>
      <c r="F19" s="7" t="s">
        <v>3358</v>
      </c>
      <c r="G19" s="7">
        <v>7</v>
      </c>
      <c r="H19" s="7" t="s">
        <v>2084</v>
      </c>
      <c r="I19" s="7" t="s">
        <v>2084</v>
      </c>
      <c r="J19" s="8" t="s">
        <v>2085</v>
      </c>
      <c r="K19" s="10"/>
    </row>
    <row r="20" spans="1:11" ht="25.5" customHeight="1">
      <c r="A20" s="14">
        <f t="shared" si="0"/>
        <v>16</v>
      </c>
      <c r="B20" s="14" t="s">
        <v>2633</v>
      </c>
      <c r="C20" s="22" t="s">
        <v>309</v>
      </c>
      <c r="D20" s="8" t="s">
        <v>331</v>
      </c>
      <c r="E20" s="37">
        <f>3.97*1000^2</f>
        <v>3970000</v>
      </c>
      <c r="F20" s="7" t="s">
        <v>3358</v>
      </c>
      <c r="G20" s="7">
        <v>6</v>
      </c>
      <c r="H20" s="7" t="s">
        <v>311</v>
      </c>
      <c r="I20" s="7" t="s">
        <v>1980</v>
      </c>
      <c r="J20" s="15" t="s">
        <v>2897</v>
      </c>
      <c r="K20" s="10" t="s">
        <v>310</v>
      </c>
    </row>
    <row r="21" spans="1:11" ht="37.5" customHeight="1">
      <c r="A21" s="14">
        <f t="shared" si="0"/>
        <v>17</v>
      </c>
      <c r="B21" s="14" t="s">
        <v>2634</v>
      </c>
      <c r="C21" s="9" t="s">
        <v>2898</v>
      </c>
      <c r="D21" s="8" t="s">
        <v>2151</v>
      </c>
      <c r="E21" s="37">
        <f>658.7*1000^2</f>
        <v>658700000</v>
      </c>
      <c r="F21" s="7" t="s">
        <v>2148</v>
      </c>
      <c r="G21" s="7">
        <v>35</v>
      </c>
      <c r="H21" s="7" t="s">
        <v>2900</v>
      </c>
      <c r="I21" s="10" t="s">
        <v>2490</v>
      </c>
      <c r="J21" s="15" t="s">
        <v>2149</v>
      </c>
      <c r="K21" s="10" t="s">
        <v>2899</v>
      </c>
    </row>
    <row r="22" spans="1:11" ht="25.5" customHeight="1" thickBot="1">
      <c r="A22" s="14">
        <f t="shared" si="0"/>
        <v>18</v>
      </c>
      <c r="B22" s="3" t="s">
        <v>2630</v>
      </c>
      <c r="C22" s="22" t="s">
        <v>2896</v>
      </c>
      <c r="D22" s="8" t="s">
        <v>2631</v>
      </c>
      <c r="E22" s="37">
        <v>17985000</v>
      </c>
      <c r="F22" s="7" t="s">
        <v>2148</v>
      </c>
      <c r="G22" s="7">
        <v>35</v>
      </c>
      <c r="H22" s="7" t="s">
        <v>2902</v>
      </c>
      <c r="I22" s="7" t="s">
        <v>2632</v>
      </c>
      <c r="J22" s="15" t="s">
        <v>2150</v>
      </c>
      <c r="K22" s="10" t="s">
        <v>2901</v>
      </c>
    </row>
    <row r="23" spans="1:11" ht="12.75" customHeight="1" thickBot="1" thickTop="1">
      <c r="A23" s="31"/>
      <c r="B23" s="31"/>
      <c r="C23" s="33"/>
      <c r="D23" s="45"/>
      <c r="E23" s="45">
        <f>AVERAGE(E5:E22)</f>
        <v>140800900</v>
      </c>
      <c r="F23" s="34"/>
      <c r="G23" s="48">
        <f>AVERAGE(G5:G22)</f>
        <v>16.833333333333332</v>
      </c>
      <c r="H23" s="34"/>
      <c r="I23" s="35"/>
      <c r="J23" s="33"/>
      <c r="K23" s="33"/>
    </row>
    <row r="24" spans="1:11" ht="12.75" customHeight="1">
      <c r="A24" s="14"/>
      <c r="B24" s="647" t="s">
        <v>2636</v>
      </c>
      <c r="C24" s="648"/>
      <c r="D24" s="9" t="s">
        <v>3048</v>
      </c>
      <c r="E24" s="9"/>
      <c r="F24" s="7"/>
      <c r="G24" s="39">
        <f>SUM(G25:G26)</f>
        <v>178</v>
      </c>
      <c r="H24" s="7"/>
      <c r="I24" s="3"/>
      <c r="J24" s="8"/>
      <c r="K24" s="8"/>
    </row>
    <row r="25" spans="1:11" ht="25.5" customHeight="1">
      <c r="A25" s="14"/>
      <c r="B25" s="649" t="s">
        <v>3042</v>
      </c>
      <c r="C25" s="650"/>
      <c r="D25" s="49" t="s">
        <v>2290</v>
      </c>
      <c r="E25" s="49"/>
      <c r="F25" s="3" t="s">
        <v>3141</v>
      </c>
      <c r="G25" s="37">
        <f>G7+G11+G14</f>
        <v>27</v>
      </c>
      <c r="H25" s="7"/>
      <c r="I25" s="3"/>
      <c r="J25" s="8"/>
      <c r="K25" s="8"/>
    </row>
    <row r="26" spans="1:11" ht="25.5" customHeight="1">
      <c r="A26" s="14"/>
      <c r="B26" s="649" t="s">
        <v>2635</v>
      </c>
      <c r="C26" s="650"/>
      <c r="D26" s="49" t="s">
        <v>2293</v>
      </c>
      <c r="E26" s="49"/>
      <c r="F26" s="14" t="s">
        <v>2663</v>
      </c>
      <c r="G26" s="37">
        <f>G6+G8+G9+G10+G12+G13+G21+G22</f>
        <v>151</v>
      </c>
      <c r="H26" s="7"/>
      <c r="I26" s="3"/>
      <c r="J26" s="8"/>
      <c r="K26" s="8"/>
    </row>
    <row r="27" spans="1:11" ht="12.75" customHeight="1">
      <c r="A27" s="603"/>
      <c r="B27" s="630" t="s">
        <v>332</v>
      </c>
      <c r="C27" s="630"/>
      <c r="D27" s="9" t="s">
        <v>3033</v>
      </c>
      <c r="E27" s="9"/>
      <c r="F27" s="7"/>
      <c r="G27" s="39">
        <f>SUM(G28:G29)</f>
        <v>125</v>
      </c>
      <c r="H27" s="7"/>
      <c r="I27" s="3"/>
      <c r="J27" s="8"/>
      <c r="K27" s="8"/>
    </row>
    <row r="28" spans="1:11" ht="12.75" customHeight="1">
      <c r="A28" s="603"/>
      <c r="B28" s="649" t="s">
        <v>330</v>
      </c>
      <c r="C28" s="650"/>
      <c r="D28" s="49" t="s">
        <v>2294</v>
      </c>
      <c r="E28" s="49"/>
      <c r="F28" s="7" t="s">
        <v>3358</v>
      </c>
      <c r="G28" s="37">
        <f>G5+G18+G19+G20</f>
        <v>48</v>
      </c>
      <c r="H28" s="7"/>
      <c r="I28" s="3"/>
      <c r="J28" s="8"/>
      <c r="K28" s="8"/>
    </row>
    <row r="29" spans="1:11" ht="25.5" customHeight="1" thickBot="1">
      <c r="A29" s="603"/>
      <c r="B29" s="649" t="s">
        <v>3042</v>
      </c>
      <c r="C29" s="650"/>
      <c r="D29" s="50" t="s">
        <v>2295</v>
      </c>
      <c r="E29" s="50"/>
      <c r="F29" s="14" t="s">
        <v>1108</v>
      </c>
      <c r="G29" s="37">
        <f>G15+G16+G17</f>
        <v>77</v>
      </c>
      <c r="H29" s="7"/>
      <c r="I29" s="3"/>
      <c r="J29" s="8"/>
      <c r="K29" s="8"/>
    </row>
    <row r="30" spans="1:11" ht="12.75" customHeight="1" thickBot="1" thickTop="1">
      <c r="A30" s="31"/>
      <c r="B30" s="632" t="s">
        <v>2637</v>
      </c>
      <c r="C30" s="633"/>
      <c r="D30" s="45"/>
      <c r="E30" s="45"/>
      <c r="F30" s="45"/>
      <c r="G30" s="45">
        <f>G24+G27</f>
        <v>303</v>
      </c>
      <c r="H30" s="45"/>
      <c r="I30" s="45"/>
      <c r="J30" s="45"/>
      <c r="K30" s="45"/>
    </row>
    <row r="31" ht="12.75" customHeight="1"/>
    <row r="32" ht="12.75" customHeight="1"/>
    <row r="33" ht="12.75" customHeight="1"/>
  </sheetData>
  <sheetProtection/>
  <mergeCells count="9">
    <mergeCell ref="A1:I1"/>
    <mergeCell ref="A2:I2"/>
    <mergeCell ref="B30:C30"/>
    <mergeCell ref="B24:C24"/>
    <mergeCell ref="B25:C25"/>
    <mergeCell ref="B26:C26"/>
    <mergeCell ref="B27:C27"/>
    <mergeCell ref="B28:C28"/>
    <mergeCell ref="B29:C29"/>
  </mergeCells>
  <printOptions horizontalCentered="1"/>
  <pageMargins left="0.3937007874015748" right="0.3937007874015748" top="1.1811023622047245" bottom="0.3937007874015748" header="0" footer="0.1968503937007874"/>
  <pageSetup horizontalDpi="300" verticalDpi="300" orientation="landscape" paperSize="9" scale="90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7109375" style="565" customWidth="1"/>
    <col min="2" max="2" width="8.7109375" style="565" customWidth="1"/>
    <col min="3" max="4" width="25.7109375" style="565" customWidth="1"/>
    <col min="5" max="5" width="11.7109375" style="565" customWidth="1"/>
    <col min="6" max="6" width="20.7109375" style="565" customWidth="1"/>
    <col min="7" max="7" width="10.7109375" style="565" customWidth="1"/>
    <col min="8" max="9" width="15.7109375" style="565" customWidth="1"/>
    <col min="10" max="10" width="20.7109375" style="565" customWidth="1"/>
    <col min="11" max="11" width="8.7109375" style="566" customWidth="1"/>
    <col min="12" max="12" width="15.7109375" style="565" customWidth="1"/>
    <col min="13" max="16384" width="9.140625" style="565" customWidth="1"/>
  </cols>
  <sheetData>
    <row r="1" spans="1:11" ht="15.75">
      <c r="A1" s="627" t="s">
        <v>885</v>
      </c>
      <c r="B1" s="627"/>
      <c r="C1" s="627"/>
      <c r="D1" s="627"/>
      <c r="E1" s="627"/>
      <c r="F1" s="627"/>
      <c r="G1" s="627"/>
      <c r="H1" s="627"/>
      <c r="I1" s="627"/>
      <c r="J1" s="5"/>
      <c r="K1" s="57" t="s">
        <v>2129</v>
      </c>
    </row>
    <row r="2" spans="1:11" s="5" customFormat="1" ht="12.75">
      <c r="A2" s="627" t="s">
        <v>884</v>
      </c>
      <c r="B2" s="627"/>
      <c r="C2" s="627"/>
      <c r="D2" s="627"/>
      <c r="E2" s="627"/>
      <c r="F2" s="627"/>
      <c r="G2" s="627"/>
      <c r="H2" s="627"/>
      <c r="I2" s="627"/>
      <c r="J2" s="18"/>
      <c r="K2" s="19"/>
    </row>
    <row r="3" spans="2:11" s="5" customFormat="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5" customFormat="1" ht="51.75" thickBot="1">
      <c r="A4" s="11" t="s">
        <v>1096</v>
      </c>
      <c r="B4" s="11" t="s">
        <v>1271</v>
      </c>
      <c r="C4" s="12" t="s">
        <v>481</v>
      </c>
      <c r="D4" s="12" t="s">
        <v>477</v>
      </c>
      <c r="E4" s="13" t="s">
        <v>160</v>
      </c>
      <c r="F4" s="13" t="s">
        <v>2320</v>
      </c>
      <c r="G4" s="11" t="s">
        <v>1765</v>
      </c>
      <c r="H4" s="13" t="s">
        <v>1764</v>
      </c>
      <c r="I4" s="13" t="s">
        <v>159</v>
      </c>
      <c r="J4" s="11" t="s">
        <v>2321</v>
      </c>
      <c r="K4" s="560" t="s">
        <v>582</v>
      </c>
    </row>
    <row r="5" spans="1:11" s="5" customFormat="1" ht="26.25" thickTop="1">
      <c r="A5" s="3">
        <v>1</v>
      </c>
      <c r="B5" s="3" t="s">
        <v>886</v>
      </c>
      <c r="C5" s="9" t="s">
        <v>2301</v>
      </c>
      <c r="D5" s="8" t="s">
        <v>161</v>
      </c>
      <c r="E5" s="37">
        <v>37797100</v>
      </c>
      <c r="F5" s="10" t="s">
        <v>893</v>
      </c>
      <c r="G5" s="7">
        <v>35</v>
      </c>
      <c r="H5" s="10" t="s">
        <v>2302</v>
      </c>
      <c r="I5" s="4" t="s">
        <v>163</v>
      </c>
      <c r="J5" s="8" t="s">
        <v>162</v>
      </c>
      <c r="K5" s="10" t="s">
        <v>1816</v>
      </c>
    </row>
    <row r="6" spans="1:11" s="5" customFormat="1" ht="25.5">
      <c r="A6" s="14">
        <f>A5+1</f>
        <v>2</v>
      </c>
      <c r="B6" s="14" t="s">
        <v>164</v>
      </c>
      <c r="C6" s="6" t="s">
        <v>889</v>
      </c>
      <c r="D6" s="8" t="s">
        <v>167</v>
      </c>
      <c r="E6" s="37">
        <v>5100000</v>
      </c>
      <c r="F6" s="7" t="s">
        <v>888</v>
      </c>
      <c r="G6" s="7">
        <v>20</v>
      </c>
      <c r="H6" s="7" t="s">
        <v>890</v>
      </c>
      <c r="I6" s="3" t="s">
        <v>165</v>
      </c>
      <c r="J6" s="8" t="s">
        <v>166</v>
      </c>
      <c r="K6" s="10" t="s">
        <v>580</v>
      </c>
    </row>
    <row r="7" spans="1:11" s="5" customFormat="1" ht="38.25" customHeight="1">
      <c r="A7" s="14">
        <f aca="true" t="shared" si="0" ref="A7:A23">A6+1</f>
        <v>3</v>
      </c>
      <c r="B7" s="14" t="s">
        <v>168</v>
      </c>
      <c r="C7" s="9" t="s">
        <v>1081</v>
      </c>
      <c r="D7" s="8" t="s">
        <v>277</v>
      </c>
      <c r="E7" s="37">
        <v>24755000</v>
      </c>
      <c r="F7" s="10" t="s">
        <v>893</v>
      </c>
      <c r="G7" s="7">
        <v>35</v>
      </c>
      <c r="H7" s="10" t="s">
        <v>170</v>
      </c>
      <c r="I7" s="16" t="s">
        <v>293</v>
      </c>
      <c r="J7" s="8" t="s">
        <v>169</v>
      </c>
      <c r="K7" s="10" t="s">
        <v>572</v>
      </c>
    </row>
    <row r="8" spans="1:11" s="5" customFormat="1" ht="38.25" customHeight="1">
      <c r="A8" s="14">
        <f t="shared" si="0"/>
        <v>4</v>
      </c>
      <c r="B8" s="14" t="s">
        <v>175</v>
      </c>
      <c r="C8" s="9" t="s">
        <v>2300</v>
      </c>
      <c r="D8" s="8" t="s">
        <v>174</v>
      </c>
      <c r="E8" s="37">
        <v>8610000</v>
      </c>
      <c r="F8" s="10" t="s">
        <v>2322</v>
      </c>
      <c r="G8" s="7">
        <v>35</v>
      </c>
      <c r="H8" s="10" t="s">
        <v>173</v>
      </c>
      <c r="I8" s="14" t="s">
        <v>172</v>
      </c>
      <c r="J8" s="8" t="s">
        <v>171</v>
      </c>
      <c r="K8" s="10" t="s">
        <v>574</v>
      </c>
    </row>
    <row r="9" spans="1:11" s="5" customFormat="1" ht="25.5">
      <c r="A9" s="14">
        <f t="shared" si="0"/>
        <v>5</v>
      </c>
      <c r="B9" s="14" t="s">
        <v>183</v>
      </c>
      <c r="C9" s="9" t="s">
        <v>891</v>
      </c>
      <c r="D9" s="8" t="s">
        <v>178</v>
      </c>
      <c r="E9" s="37">
        <v>9770000</v>
      </c>
      <c r="F9" s="7" t="s">
        <v>888</v>
      </c>
      <c r="G9" s="7">
        <v>35</v>
      </c>
      <c r="H9" s="7" t="s">
        <v>890</v>
      </c>
      <c r="I9" s="3" t="s">
        <v>177</v>
      </c>
      <c r="J9" s="8" t="s">
        <v>176</v>
      </c>
      <c r="K9" s="10" t="s">
        <v>580</v>
      </c>
    </row>
    <row r="10" spans="1:11" s="5" customFormat="1" ht="38.25">
      <c r="A10" s="14">
        <f t="shared" si="0"/>
        <v>6</v>
      </c>
      <c r="B10" s="14" t="s">
        <v>179</v>
      </c>
      <c r="C10" s="9" t="s">
        <v>894</v>
      </c>
      <c r="D10" s="8" t="s">
        <v>182</v>
      </c>
      <c r="E10" s="37">
        <v>431000</v>
      </c>
      <c r="F10" s="10" t="s">
        <v>2322</v>
      </c>
      <c r="G10" s="7">
        <v>12</v>
      </c>
      <c r="H10" s="10" t="s">
        <v>181</v>
      </c>
      <c r="I10" s="10" t="s">
        <v>181</v>
      </c>
      <c r="J10" s="8" t="s">
        <v>180</v>
      </c>
      <c r="K10" s="10" t="s">
        <v>577</v>
      </c>
    </row>
    <row r="11" spans="1:11" s="5" customFormat="1" ht="38.25">
      <c r="A11" s="14">
        <f t="shared" si="0"/>
        <v>7</v>
      </c>
      <c r="B11" s="14" t="s">
        <v>1648</v>
      </c>
      <c r="C11" s="9" t="s">
        <v>2303</v>
      </c>
      <c r="D11" s="8" t="s">
        <v>266</v>
      </c>
      <c r="E11" s="37">
        <v>355000</v>
      </c>
      <c r="F11" s="7" t="s">
        <v>898</v>
      </c>
      <c r="G11" s="7">
        <v>10</v>
      </c>
      <c r="H11" s="7" t="s">
        <v>2304</v>
      </c>
      <c r="I11" s="7" t="s">
        <v>2304</v>
      </c>
      <c r="J11" s="8" t="s">
        <v>265</v>
      </c>
      <c r="K11" s="10" t="s">
        <v>576</v>
      </c>
    </row>
    <row r="12" spans="1:11" s="5" customFormat="1" ht="38.25">
      <c r="A12" s="14">
        <f t="shared" si="0"/>
        <v>8</v>
      </c>
      <c r="B12" s="14" t="s">
        <v>267</v>
      </c>
      <c r="C12" s="54" t="s">
        <v>602</v>
      </c>
      <c r="D12" s="8" t="s">
        <v>1232</v>
      </c>
      <c r="E12" s="37">
        <v>881131</v>
      </c>
      <c r="F12" s="7" t="s">
        <v>888</v>
      </c>
      <c r="G12" s="7">
        <v>35</v>
      </c>
      <c r="H12" s="10" t="s">
        <v>269</v>
      </c>
      <c r="I12" s="3" t="s">
        <v>270</v>
      </c>
      <c r="J12" s="8" t="s">
        <v>268</v>
      </c>
      <c r="K12" s="10" t="s">
        <v>1810</v>
      </c>
    </row>
    <row r="13" spans="1:11" s="5" customFormat="1" ht="38.25" customHeight="1">
      <c r="A13" s="14">
        <f t="shared" si="0"/>
        <v>9</v>
      </c>
      <c r="B13" s="14" t="s">
        <v>272</v>
      </c>
      <c r="C13" s="9" t="s">
        <v>892</v>
      </c>
      <c r="D13" s="8" t="s">
        <v>279</v>
      </c>
      <c r="E13" s="37">
        <v>2297060</v>
      </c>
      <c r="F13" s="7" t="s">
        <v>893</v>
      </c>
      <c r="G13" s="7">
        <v>35</v>
      </c>
      <c r="H13" s="10" t="s">
        <v>276</v>
      </c>
      <c r="I13" s="10" t="s">
        <v>275</v>
      </c>
      <c r="J13" s="8" t="s">
        <v>273</v>
      </c>
      <c r="K13" s="10" t="s">
        <v>570</v>
      </c>
    </row>
    <row r="14" spans="1:11" s="5" customFormat="1" ht="38.25">
      <c r="A14" s="14">
        <f t="shared" si="0"/>
        <v>10</v>
      </c>
      <c r="B14" s="14" t="s">
        <v>280</v>
      </c>
      <c r="C14" s="9" t="s">
        <v>603</v>
      </c>
      <c r="D14" s="8" t="s">
        <v>283</v>
      </c>
      <c r="E14" s="37">
        <v>139230751</v>
      </c>
      <c r="F14" s="7" t="s">
        <v>898</v>
      </c>
      <c r="G14" s="7">
        <v>10</v>
      </c>
      <c r="H14" s="7" t="s">
        <v>2299</v>
      </c>
      <c r="I14" s="3" t="s">
        <v>281</v>
      </c>
      <c r="J14" s="8" t="s">
        <v>282</v>
      </c>
      <c r="K14" s="10" t="s">
        <v>575</v>
      </c>
    </row>
    <row r="15" spans="1:11" s="5" customFormat="1" ht="25.5" customHeight="1">
      <c r="A15" s="14">
        <f t="shared" si="0"/>
        <v>11</v>
      </c>
      <c r="B15" s="14" t="s">
        <v>284</v>
      </c>
      <c r="C15" s="9" t="s">
        <v>887</v>
      </c>
      <c r="D15" s="8" t="s">
        <v>288</v>
      </c>
      <c r="E15" s="37">
        <v>3297232</v>
      </c>
      <c r="F15" s="7" t="s">
        <v>888</v>
      </c>
      <c r="G15" s="7">
        <v>25</v>
      </c>
      <c r="H15" s="10" t="s">
        <v>286</v>
      </c>
      <c r="I15" s="4" t="s">
        <v>287</v>
      </c>
      <c r="J15" s="8" t="s">
        <v>285</v>
      </c>
      <c r="K15" s="10" t="s">
        <v>579</v>
      </c>
    </row>
    <row r="16" spans="1:11" s="5" customFormat="1" ht="38.25" customHeight="1">
      <c r="A16" s="14">
        <f t="shared" si="0"/>
        <v>12</v>
      </c>
      <c r="B16" s="14" t="s">
        <v>289</v>
      </c>
      <c r="C16" s="9" t="s">
        <v>1081</v>
      </c>
      <c r="D16" s="8" t="s">
        <v>278</v>
      </c>
      <c r="E16" s="37">
        <v>12704700</v>
      </c>
      <c r="F16" s="10" t="s">
        <v>2322</v>
      </c>
      <c r="G16" s="7">
        <v>35</v>
      </c>
      <c r="H16" s="10" t="s">
        <v>291</v>
      </c>
      <c r="I16" s="16" t="s">
        <v>292</v>
      </c>
      <c r="J16" s="15" t="s">
        <v>290</v>
      </c>
      <c r="K16" s="7" t="s">
        <v>572</v>
      </c>
    </row>
    <row r="17" spans="1:11" s="5" customFormat="1" ht="12.75" hidden="1">
      <c r="A17" s="14"/>
      <c r="B17" s="3"/>
      <c r="C17" s="9"/>
      <c r="D17" s="8"/>
      <c r="E17" s="37"/>
      <c r="F17" s="7"/>
      <c r="G17" s="7"/>
      <c r="H17" s="10"/>
      <c r="I17" s="3"/>
      <c r="J17" s="8"/>
      <c r="K17" s="10"/>
    </row>
    <row r="18" spans="1:11" s="5" customFormat="1" ht="38.25">
      <c r="A18" s="14">
        <v>13</v>
      </c>
      <c r="B18" s="14" t="s">
        <v>1065</v>
      </c>
      <c r="C18" s="9" t="s">
        <v>895</v>
      </c>
      <c r="D18" s="8" t="s">
        <v>1067</v>
      </c>
      <c r="E18" s="37">
        <v>1933792</v>
      </c>
      <c r="F18" s="10" t="s">
        <v>271</v>
      </c>
      <c r="G18" s="7">
        <v>20</v>
      </c>
      <c r="H18" s="7" t="s">
        <v>896</v>
      </c>
      <c r="I18" s="3" t="s">
        <v>1066</v>
      </c>
      <c r="J18" s="8" t="s">
        <v>1064</v>
      </c>
      <c r="K18" s="10" t="s">
        <v>578</v>
      </c>
    </row>
    <row r="19" spans="1:11" s="5" customFormat="1" ht="25.5">
      <c r="A19" s="14">
        <f t="shared" si="0"/>
        <v>14</v>
      </c>
      <c r="B19" s="14" t="s">
        <v>1068</v>
      </c>
      <c r="C19" s="9" t="s">
        <v>2664</v>
      </c>
      <c r="D19" s="8" t="s">
        <v>1069</v>
      </c>
      <c r="E19" s="37">
        <v>1764616</v>
      </c>
      <c r="F19" s="7" t="s">
        <v>893</v>
      </c>
      <c r="G19" s="7">
        <v>35</v>
      </c>
      <c r="H19" s="10" t="s">
        <v>274</v>
      </c>
      <c r="I19" s="3" t="s">
        <v>1071</v>
      </c>
      <c r="J19" s="8" t="s">
        <v>1070</v>
      </c>
      <c r="K19" s="10" t="s">
        <v>1809</v>
      </c>
    </row>
    <row r="20" spans="1:11" s="5" customFormat="1" ht="25.5">
      <c r="A20" s="14">
        <f t="shared" si="0"/>
        <v>15</v>
      </c>
      <c r="B20" s="14" t="s">
        <v>1072</v>
      </c>
      <c r="C20" s="9" t="s">
        <v>897</v>
      </c>
      <c r="D20" s="8" t="s">
        <v>1073</v>
      </c>
      <c r="E20" s="37">
        <v>1180147</v>
      </c>
      <c r="F20" s="7" t="s">
        <v>898</v>
      </c>
      <c r="G20" s="7">
        <v>10</v>
      </c>
      <c r="H20" s="7" t="s">
        <v>899</v>
      </c>
      <c r="I20" s="3" t="s">
        <v>1075</v>
      </c>
      <c r="J20" s="8" t="s">
        <v>1074</v>
      </c>
      <c r="K20" s="10" t="s">
        <v>569</v>
      </c>
    </row>
    <row r="21" spans="1:11" s="5" customFormat="1" ht="38.25">
      <c r="A21" s="14">
        <f t="shared" si="0"/>
        <v>16</v>
      </c>
      <c r="B21" s="14" t="s">
        <v>1076</v>
      </c>
      <c r="C21" s="9" t="s">
        <v>2319</v>
      </c>
      <c r="D21" s="8" t="s">
        <v>2117</v>
      </c>
      <c r="E21" s="37">
        <v>473685541</v>
      </c>
      <c r="F21" s="7" t="s">
        <v>888</v>
      </c>
      <c r="G21" s="7">
        <v>35</v>
      </c>
      <c r="H21" s="10" t="s">
        <v>1078</v>
      </c>
      <c r="I21" s="4" t="s">
        <v>1079</v>
      </c>
      <c r="J21" s="8" t="s">
        <v>1077</v>
      </c>
      <c r="K21" s="10" t="s">
        <v>581</v>
      </c>
    </row>
    <row r="22" spans="1:11" s="5" customFormat="1" ht="51">
      <c r="A22" s="14">
        <f t="shared" si="0"/>
        <v>17</v>
      </c>
      <c r="B22" s="14" t="s">
        <v>2118</v>
      </c>
      <c r="C22" s="9" t="s">
        <v>2121</v>
      </c>
      <c r="D22" s="8" t="s">
        <v>2120</v>
      </c>
      <c r="E22" s="37">
        <v>263000</v>
      </c>
      <c r="F22" s="7" t="s">
        <v>898</v>
      </c>
      <c r="G22" s="7">
        <v>7</v>
      </c>
      <c r="H22" s="7" t="s">
        <v>2305</v>
      </c>
      <c r="I22" s="7" t="s">
        <v>2305</v>
      </c>
      <c r="J22" s="8" t="s">
        <v>2119</v>
      </c>
      <c r="K22" s="10" t="s">
        <v>573</v>
      </c>
    </row>
    <row r="23" spans="1:11" s="5" customFormat="1" ht="39" thickBot="1">
      <c r="A23" s="14">
        <f t="shared" si="0"/>
        <v>18</v>
      </c>
      <c r="B23" s="14" t="s">
        <v>1811</v>
      </c>
      <c r="C23" s="9" t="s">
        <v>1812</v>
      </c>
      <c r="D23" s="8" t="s">
        <v>583</v>
      </c>
      <c r="E23" s="37"/>
      <c r="F23" s="7" t="s">
        <v>1813</v>
      </c>
      <c r="G23" s="7">
        <v>15</v>
      </c>
      <c r="H23" s="7" t="s">
        <v>1815</v>
      </c>
      <c r="I23" s="7" t="s">
        <v>1815</v>
      </c>
      <c r="J23" s="15" t="s">
        <v>584</v>
      </c>
      <c r="K23" s="10" t="s">
        <v>1814</v>
      </c>
    </row>
    <row r="24" spans="1:11" s="5" customFormat="1" ht="14.25" thickBot="1" thickTop="1">
      <c r="A24" s="31"/>
      <c r="B24" s="31"/>
      <c r="C24" s="31"/>
      <c r="D24" s="32"/>
      <c r="E24" s="45">
        <f>SUM(E5:E23)</f>
        <v>724056070</v>
      </c>
      <c r="F24" s="45"/>
      <c r="G24" s="48">
        <f>AVERAGE(G5:G23)</f>
        <v>24.666666666666668</v>
      </c>
      <c r="H24" s="48"/>
      <c r="I24" s="34"/>
      <c r="J24" s="35"/>
      <c r="K24" s="35"/>
    </row>
    <row r="25" spans="1:11" s="5" customFormat="1" ht="12.75">
      <c r="A25" s="603"/>
      <c r="B25" s="630" t="s">
        <v>1664</v>
      </c>
      <c r="C25" s="630"/>
      <c r="D25" s="9" t="s">
        <v>3034</v>
      </c>
      <c r="E25" s="51">
        <f>SUM(E26:E28)</f>
        <v>513847433</v>
      </c>
      <c r="F25" s="39"/>
      <c r="G25" s="39">
        <f>SUM(G26:G28)</f>
        <v>102</v>
      </c>
      <c r="H25" s="3"/>
      <c r="I25" s="8"/>
      <c r="J25" s="8"/>
      <c r="K25" s="8"/>
    </row>
    <row r="26" spans="1:11" s="5" customFormat="1" ht="25.5">
      <c r="A26" s="603"/>
      <c r="B26" s="649" t="s">
        <v>3038</v>
      </c>
      <c r="C26" s="650"/>
      <c r="D26" s="50" t="s">
        <v>2156</v>
      </c>
      <c r="E26" s="37">
        <f>E5</f>
        <v>37797100</v>
      </c>
      <c r="F26" s="10" t="s">
        <v>1109</v>
      </c>
      <c r="G26" s="37">
        <f>G5</f>
        <v>35</v>
      </c>
      <c r="H26" s="3"/>
      <c r="I26" s="8"/>
      <c r="J26" s="8"/>
      <c r="K26" s="596"/>
    </row>
    <row r="27" spans="1:11" s="5" customFormat="1" ht="51" customHeight="1">
      <c r="A27" s="603"/>
      <c r="B27" s="649" t="s">
        <v>3040</v>
      </c>
      <c r="C27" s="650"/>
      <c r="D27" s="49" t="s">
        <v>2157</v>
      </c>
      <c r="E27" s="37">
        <f>E10+E18</f>
        <v>2364792</v>
      </c>
      <c r="F27" s="10" t="s">
        <v>1112</v>
      </c>
      <c r="G27" s="37">
        <f>G10+G18</f>
        <v>32</v>
      </c>
      <c r="H27" s="3"/>
      <c r="I27" s="8"/>
      <c r="J27" s="596"/>
      <c r="K27" s="596"/>
    </row>
    <row r="28" spans="1:11" s="5" customFormat="1" ht="25.5">
      <c r="A28" s="603"/>
      <c r="B28" s="649" t="s">
        <v>3038</v>
      </c>
      <c r="C28" s="650"/>
      <c r="D28" s="49" t="s">
        <v>2159</v>
      </c>
      <c r="E28" s="37">
        <f>E21</f>
        <v>473685541</v>
      </c>
      <c r="F28" s="10" t="s">
        <v>1110</v>
      </c>
      <c r="G28" s="37">
        <f>G21</f>
        <v>35</v>
      </c>
      <c r="H28" s="3"/>
      <c r="I28" s="8"/>
      <c r="J28" s="8"/>
      <c r="K28" s="596"/>
    </row>
    <row r="29" spans="1:11" s="5" customFormat="1" ht="12.75">
      <c r="A29" s="603"/>
      <c r="B29" s="630" t="s">
        <v>585</v>
      </c>
      <c r="C29" s="630"/>
      <c r="D29" s="9" t="s">
        <v>761</v>
      </c>
      <c r="E29" s="39">
        <f>SUM(E30:E33)</f>
        <v>210208637</v>
      </c>
      <c r="F29" s="39"/>
      <c r="G29" s="39">
        <f>SUM(G30:G33)</f>
        <v>342</v>
      </c>
      <c r="H29" s="3"/>
      <c r="I29" s="8"/>
      <c r="J29" s="8"/>
      <c r="K29" s="596"/>
    </row>
    <row r="30" spans="1:11" s="5" customFormat="1" ht="51">
      <c r="A30" s="603"/>
      <c r="B30" s="649" t="s">
        <v>3039</v>
      </c>
      <c r="C30" s="650"/>
      <c r="D30" s="49" t="s">
        <v>762</v>
      </c>
      <c r="E30" s="37">
        <f>E12+E19+E23</f>
        <v>2645747</v>
      </c>
      <c r="F30" s="10" t="s">
        <v>2125</v>
      </c>
      <c r="G30" s="37">
        <f>G12+G19+G23</f>
        <v>85</v>
      </c>
      <c r="H30" s="3"/>
      <c r="I30" s="8"/>
      <c r="J30" s="8"/>
      <c r="K30" s="596"/>
    </row>
    <row r="31" spans="1:11" s="5" customFormat="1" ht="25.5" customHeight="1">
      <c r="A31" s="603"/>
      <c r="B31" s="649" t="s">
        <v>586</v>
      </c>
      <c r="C31" s="650"/>
      <c r="D31" s="50" t="s">
        <v>763</v>
      </c>
      <c r="E31" s="37">
        <f>E7+E13+E16+E17+E20+E22</f>
        <v>41199907</v>
      </c>
      <c r="F31" s="10" t="s">
        <v>1111</v>
      </c>
      <c r="G31" s="37">
        <f>G7+G13+G16+G17+G20+G22</f>
        <v>122</v>
      </c>
      <c r="H31" s="3"/>
      <c r="I31" s="8"/>
      <c r="J31" s="8"/>
      <c r="K31" s="596"/>
    </row>
    <row r="32" spans="1:11" s="5" customFormat="1" ht="25.5" customHeight="1">
      <c r="A32" s="603"/>
      <c r="B32" s="649" t="s">
        <v>3039</v>
      </c>
      <c r="C32" s="650"/>
      <c r="D32" s="49" t="s">
        <v>764</v>
      </c>
      <c r="E32" s="37">
        <f>E8+E11+E14</f>
        <v>148195751</v>
      </c>
      <c r="F32" s="10" t="s">
        <v>1111</v>
      </c>
      <c r="G32" s="37">
        <f>G8+G11+G14</f>
        <v>55</v>
      </c>
      <c r="H32" s="3"/>
      <c r="I32" s="8"/>
      <c r="J32" s="8"/>
      <c r="K32" s="596"/>
    </row>
    <row r="33" spans="1:11" s="5" customFormat="1" ht="26.25" thickBot="1">
      <c r="A33" s="603"/>
      <c r="B33" s="649" t="s">
        <v>3039</v>
      </c>
      <c r="C33" s="650"/>
      <c r="D33" s="49" t="s">
        <v>1113</v>
      </c>
      <c r="E33" s="37">
        <f>E6+E9+E15</f>
        <v>18167232</v>
      </c>
      <c r="F33" s="10" t="s">
        <v>1110</v>
      </c>
      <c r="G33" s="37">
        <f>G6+G9+G15</f>
        <v>80</v>
      </c>
      <c r="H33" s="3"/>
      <c r="I33" s="8"/>
      <c r="J33" s="8"/>
      <c r="K33" s="596"/>
    </row>
    <row r="34" spans="1:11" ht="14.25" thickBot="1" thickTop="1">
      <c r="A34" s="31"/>
      <c r="B34" s="632" t="s">
        <v>1847</v>
      </c>
      <c r="C34" s="633"/>
      <c r="D34" s="45"/>
      <c r="E34" s="45">
        <f>E25+E29</f>
        <v>724056070</v>
      </c>
      <c r="F34" s="45"/>
      <c r="G34" s="45">
        <f>G25+G29</f>
        <v>444</v>
      </c>
      <c r="H34" s="45"/>
      <c r="I34" s="45"/>
      <c r="J34" s="45"/>
      <c r="K34" s="45"/>
    </row>
    <row r="37" spans="1:11" s="5" customFormat="1" ht="12.75">
      <c r="A37" s="565"/>
      <c r="B37" s="627" t="s">
        <v>473</v>
      </c>
      <c r="C37" s="627"/>
      <c r="D37" s="627"/>
      <c r="E37" s="627"/>
      <c r="F37" s="627"/>
      <c r="G37" s="627"/>
      <c r="H37" s="627"/>
      <c r="I37" s="627"/>
      <c r="J37" s="627"/>
      <c r="K37" s="627"/>
    </row>
    <row r="38" spans="2:11" s="5" customFormat="1" ht="12.75">
      <c r="B38" s="627" t="s">
        <v>884</v>
      </c>
      <c r="C38" s="627"/>
      <c r="D38" s="627"/>
      <c r="E38" s="627"/>
      <c r="F38" s="627"/>
      <c r="G38" s="627"/>
      <c r="H38" s="627"/>
      <c r="I38" s="627"/>
      <c r="J38" s="627"/>
      <c r="K38" s="627"/>
    </row>
    <row r="39" spans="2:11" s="5" customFormat="1" ht="12.75"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2" s="5" customFormat="1" ht="64.5" thickBot="1">
      <c r="A40" s="11" t="s">
        <v>1096</v>
      </c>
      <c r="B40" s="11" t="s">
        <v>1271</v>
      </c>
      <c r="C40" s="12" t="s">
        <v>481</v>
      </c>
      <c r="D40" s="12" t="s">
        <v>477</v>
      </c>
      <c r="E40" s="13" t="s">
        <v>160</v>
      </c>
      <c r="F40" s="13" t="s">
        <v>1104</v>
      </c>
      <c r="G40" s="11" t="s">
        <v>1765</v>
      </c>
      <c r="H40" s="13" t="s">
        <v>1764</v>
      </c>
      <c r="I40" s="13" t="s">
        <v>3066</v>
      </c>
      <c r="J40" s="11" t="s">
        <v>3071</v>
      </c>
      <c r="K40" s="634" t="s">
        <v>2399</v>
      </c>
      <c r="L40" s="635"/>
    </row>
    <row r="41" spans="1:12" s="5" customFormat="1" ht="26.25" thickTop="1">
      <c r="A41" s="3">
        <v>1</v>
      </c>
      <c r="B41" s="14" t="s">
        <v>301</v>
      </c>
      <c r="C41" s="9" t="s">
        <v>300</v>
      </c>
      <c r="D41" s="8" t="s">
        <v>299</v>
      </c>
      <c r="E41" s="37">
        <v>2539100</v>
      </c>
      <c r="F41" s="10" t="s">
        <v>271</v>
      </c>
      <c r="G41" s="7">
        <v>26</v>
      </c>
      <c r="H41" s="10" t="s">
        <v>298</v>
      </c>
      <c r="I41" s="10" t="s">
        <v>298</v>
      </c>
      <c r="J41" s="8" t="s">
        <v>297</v>
      </c>
      <c r="K41" s="652"/>
      <c r="L41" s="653"/>
    </row>
    <row r="42" spans="1:12" s="5" customFormat="1" ht="25.5">
      <c r="A42" s="14">
        <f>A41+1</f>
        <v>2</v>
      </c>
      <c r="B42" s="14" t="s">
        <v>302</v>
      </c>
      <c r="C42" s="9" t="s">
        <v>303</v>
      </c>
      <c r="D42" s="8" t="s">
        <v>304</v>
      </c>
      <c r="E42" s="37">
        <v>2203220</v>
      </c>
      <c r="F42" s="10" t="s">
        <v>271</v>
      </c>
      <c r="G42" s="7">
        <v>11</v>
      </c>
      <c r="H42" s="10" t="s">
        <v>305</v>
      </c>
      <c r="I42" s="7" t="s">
        <v>896</v>
      </c>
      <c r="J42" s="8" t="s">
        <v>306</v>
      </c>
      <c r="K42" s="651"/>
      <c r="L42" s="651"/>
    </row>
    <row r="43" spans="1:12" s="5" customFormat="1" ht="25.5" customHeight="1">
      <c r="A43" s="14">
        <f>A42+1</f>
        <v>3</v>
      </c>
      <c r="B43" s="3" t="s">
        <v>1878</v>
      </c>
      <c r="C43" s="9" t="s">
        <v>1114</v>
      </c>
      <c r="D43" s="8" t="s">
        <v>1879</v>
      </c>
      <c r="E43" s="37">
        <v>97000</v>
      </c>
      <c r="F43" s="7" t="s">
        <v>898</v>
      </c>
      <c r="G43" s="7">
        <v>7</v>
      </c>
      <c r="H43" s="10" t="s">
        <v>1880</v>
      </c>
      <c r="I43" s="3" t="s">
        <v>173</v>
      </c>
      <c r="J43" s="8" t="s">
        <v>1881</v>
      </c>
      <c r="K43" s="643"/>
      <c r="L43" s="644"/>
    </row>
    <row r="45" spans="1:3" ht="13.5">
      <c r="A45" s="5"/>
      <c r="B45" s="5"/>
      <c r="C45" s="52" t="s">
        <v>1230</v>
      </c>
    </row>
    <row r="46" ht="12.75">
      <c r="C46" s="53" t="s">
        <v>1115</v>
      </c>
    </row>
    <row r="47" ht="12.75">
      <c r="C47" s="53" t="s">
        <v>2259</v>
      </c>
    </row>
  </sheetData>
  <sheetProtection/>
  <mergeCells count="18">
    <mergeCell ref="K43:L43"/>
    <mergeCell ref="K42:L42"/>
    <mergeCell ref="K41:L41"/>
    <mergeCell ref="B37:K37"/>
    <mergeCell ref="B38:K38"/>
    <mergeCell ref="K40:L40"/>
    <mergeCell ref="A1:I1"/>
    <mergeCell ref="A2:I2"/>
    <mergeCell ref="B25:C25"/>
    <mergeCell ref="B26:C26"/>
    <mergeCell ref="B28:C28"/>
    <mergeCell ref="B29:C29"/>
    <mergeCell ref="B34:C34"/>
    <mergeCell ref="B27:C27"/>
    <mergeCell ref="B31:C31"/>
    <mergeCell ref="B32:C32"/>
    <mergeCell ref="B33:C33"/>
    <mergeCell ref="B30:C30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7109375" style="565" customWidth="1"/>
    <col min="2" max="2" width="8.7109375" style="565" customWidth="1"/>
    <col min="3" max="4" width="25.7109375" style="565" customWidth="1"/>
    <col min="5" max="5" width="11.7109375" style="565" customWidth="1"/>
    <col min="6" max="6" width="20.7109375" style="565" customWidth="1"/>
    <col min="7" max="7" width="10.7109375" style="565" customWidth="1"/>
    <col min="8" max="9" width="15.7109375" style="565" customWidth="1"/>
    <col min="10" max="10" width="20.7109375" style="565" customWidth="1"/>
    <col min="11" max="11" width="9.140625" style="566" customWidth="1"/>
    <col min="12" max="12" width="15.7109375" style="565" customWidth="1"/>
    <col min="13" max="16384" width="9.140625" style="565" customWidth="1"/>
  </cols>
  <sheetData>
    <row r="1" spans="1:11" s="5" customFormat="1" ht="15.75">
      <c r="A1" s="627" t="s">
        <v>1882</v>
      </c>
      <c r="B1" s="627"/>
      <c r="C1" s="627"/>
      <c r="D1" s="627"/>
      <c r="E1" s="627"/>
      <c r="F1" s="627"/>
      <c r="G1" s="627"/>
      <c r="H1" s="627"/>
      <c r="I1" s="627"/>
      <c r="K1" s="57" t="s">
        <v>2130</v>
      </c>
    </row>
    <row r="2" spans="1:11" s="5" customFormat="1" ht="12.75">
      <c r="A2" s="627" t="s">
        <v>1239</v>
      </c>
      <c r="B2" s="627"/>
      <c r="C2" s="627"/>
      <c r="D2" s="627"/>
      <c r="E2" s="627"/>
      <c r="F2" s="627"/>
      <c r="G2" s="627"/>
      <c r="H2" s="627"/>
      <c r="I2" s="627"/>
      <c r="J2" s="18"/>
      <c r="K2" s="19"/>
    </row>
    <row r="3" spans="2:11" s="5" customFormat="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5" customFormat="1" ht="64.5" thickBot="1">
      <c r="A4" s="11" t="s">
        <v>1096</v>
      </c>
      <c r="B4" s="11" t="s">
        <v>1271</v>
      </c>
      <c r="C4" s="12" t="s">
        <v>481</v>
      </c>
      <c r="D4" s="12" t="s">
        <v>477</v>
      </c>
      <c r="E4" s="13" t="s">
        <v>160</v>
      </c>
      <c r="F4" s="13" t="s">
        <v>1104</v>
      </c>
      <c r="G4" s="11" t="s">
        <v>1765</v>
      </c>
      <c r="H4" s="13" t="s">
        <v>1764</v>
      </c>
      <c r="I4" s="13" t="s">
        <v>159</v>
      </c>
      <c r="J4" s="11" t="s">
        <v>2321</v>
      </c>
      <c r="K4" s="560" t="s">
        <v>582</v>
      </c>
    </row>
    <row r="5" spans="1:11" s="5" customFormat="1" ht="26.25" thickTop="1">
      <c r="A5" s="3">
        <v>1</v>
      </c>
      <c r="B5" s="14" t="s">
        <v>479</v>
      </c>
      <c r="C5" s="9" t="s">
        <v>1451</v>
      </c>
      <c r="D5" s="8" t="s">
        <v>1449</v>
      </c>
      <c r="E5" s="37">
        <f>953382+140069</f>
        <v>1093451</v>
      </c>
      <c r="F5" s="7" t="s">
        <v>480</v>
      </c>
      <c r="G5" s="7">
        <v>20</v>
      </c>
      <c r="H5" s="7" t="s">
        <v>1450</v>
      </c>
      <c r="I5" s="4" t="s">
        <v>173</v>
      </c>
      <c r="J5" s="8" t="s">
        <v>1448</v>
      </c>
      <c r="K5" s="10" t="s">
        <v>2496</v>
      </c>
    </row>
    <row r="6" spans="1:11" s="5" customFormat="1" ht="25.5">
      <c r="A6" s="14">
        <f>A5+1</f>
        <v>2</v>
      </c>
      <c r="B6" s="14" t="s">
        <v>478</v>
      </c>
      <c r="C6" s="9" t="s">
        <v>1451</v>
      </c>
      <c r="D6" s="8" t="s">
        <v>1453</v>
      </c>
      <c r="E6" s="37">
        <v>788301</v>
      </c>
      <c r="F6" s="7" t="s">
        <v>1766</v>
      </c>
      <c r="G6" s="7">
        <v>20</v>
      </c>
      <c r="H6" s="7" t="s">
        <v>1450</v>
      </c>
      <c r="I6" s="4" t="s">
        <v>173</v>
      </c>
      <c r="J6" s="15" t="s">
        <v>1452</v>
      </c>
      <c r="K6" s="7" t="s">
        <v>2496</v>
      </c>
    </row>
    <row r="7" spans="1:11" s="5" customFormat="1" ht="51">
      <c r="A7" s="14">
        <f aca="true" t="shared" si="0" ref="A7:A12">A6+1</f>
        <v>3</v>
      </c>
      <c r="B7" s="14" t="s">
        <v>1767</v>
      </c>
      <c r="C7" s="9" t="s">
        <v>1457</v>
      </c>
      <c r="D7" s="8" t="s">
        <v>1454</v>
      </c>
      <c r="E7" s="37">
        <v>588000</v>
      </c>
      <c r="F7" s="7" t="s">
        <v>1766</v>
      </c>
      <c r="G7" s="7">
        <v>20</v>
      </c>
      <c r="H7" s="7" t="s">
        <v>1455</v>
      </c>
      <c r="I7" s="7" t="s">
        <v>1455</v>
      </c>
      <c r="J7" s="8" t="s">
        <v>1456</v>
      </c>
      <c r="K7" s="10" t="s">
        <v>1824</v>
      </c>
    </row>
    <row r="8" spans="1:11" s="5" customFormat="1" ht="38.25">
      <c r="A8" s="14">
        <f t="shared" si="0"/>
        <v>4</v>
      </c>
      <c r="B8" s="14" t="s">
        <v>1768</v>
      </c>
      <c r="C8" s="9" t="s">
        <v>1457</v>
      </c>
      <c r="D8" s="8" t="s">
        <v>1459</v>
      </c>
      <c r="E8" s="37">
        <v>940000</v>
      </c>
      <c r="F8" s="7" t="s">
        <v>1769</v>
      </c>
      <c r="G8" s="7">
        <v>20</v>
      </c>
      <c r="H8" s="7" t="s">
        <v>1455</v>
      </c>
      <c r="I8" s="7" t="s">
        <v>1455</v>
      </c>
      <c r="J8" s="15" t="s">
        <v>1458</v>
      </c>
      <c r="K8" s="7" t="s">
        <v>1824</v>
      </c>
    </row>
    <row r="9" spans="1:11" s="5" customFormat="1" ht="25.5">
      <c r="A9" s="14">
        <f t="shared" si="0"/>
        <v>5</v>
      </c>
      <c r="B9" s="14" t="s">
        <v>1465</v>
      </c>
      <c r="C9" s="9" t="s">
        <v>2310</v>
      </c>
      <c r="D9" s="8" t="s">
        <v>2309</v>
      </c>
      <c r="E9" s="37">
        <v>254724.014</v>
      </c>
      <c r="F9" s="7" t="s">
        <v>2311</v>
      </c>
      <c r="G9" s="7">
        <v>20</v>
      </c>
      <c r="H9" s="7" t="s">
        <v>2312</v>
      </c>
      <c r="I9" s="3" t="s">
        <v>2313</v>
      </c>
      <c r="J9" s="15" t="s">
        <v>2308</v>
      </c>
      <c r="K9" s="7" t="s">
        <v>2876</v>
      </c>
    </row>
    <row r="10" spans="1:11" s="5" customFormat="1" ht="25.5">
      <c r="A10" s="14">
        <f t="shared" si="0"/>
        <v>6</v>
      </c>
      <c r="B10" s="14" t="s">
        <v>1466</v>
      </c>
      <c r="C10" s="9" t="s">
        <v>2310</v>
      </c>
      <c r="D10" s="8" t="s">
        <v>2315</v>
      </c>
      <c r="E10" s="37">
        <f>850111.123</f>
        <v>850111.123</v>
      </c>
      <c r="F10" s="7" t="s">
        <v>2316</v>
      </c>
      <c r="G10" s="7">
        <v>20</v>
      </c>
      <c r="H10" s="7" t="s">
        <v>2312</v>
      </c>
      <c r="I10" s="3" t="s">
        <v>2313</v>
      </c>
      <c r="J10" s="15" t="s">
        <v>2314</v>
      </c>
      <c r="K10" s="7" t="s">
        <v>2876</v>
      </c>
    </row>
    <row r="11" spans="1:11" s="5" customFormat="1" ht="25.5">
      <c r="A11" s="14">
        <f t="shared" si="0"/>
        <v>7</v>
      </c>
      <c r="B11" s="14" t="s">
        <v>1467</v>
      </c>
      <c r="C11" s="9" t="s">
        <v>2310</v>
      </c>
      <c r="D11" s="8" t="s">
        <v>2317</v>
      </c>
      <c r="E11" s="37">
        <v>419843</v>
      </c>
      <c r="F11" s="10" t="s">
        <v>3357</v>
      </c>
      <c r="G11" s="7">
        <v>20</v>
      </c>
      <c r="H11" s="7" t="s">
        <v>2312</v>
      </c>
      <c r="I11" s="14" t="s">
        <v>2318</v>
      </c>
      <c r="J11" s="15" t="s">
        <v>1808</v>
      </c>
      <c r="K11" s="7" t="s">
        <v>2875</v>
      </c>
    </row>
    <row r="12" spans="1:11" s="5" customFormat="1" ht="38.25">
      <c r="A12" s="14">
        <f t="shared" si="0"/>
        <v>8</v>
      </c>
      <c r="B12" s="14" t="s">
        <v>1468</v>
      </c>
      <c r="C12" s="9" t="s">
        <v>1772</v>
      </c>
      <c r="D12" s="8" t="s">
        <v>1770</v>
      </c>
      <c r="E12" s="37">
        <v>194800</v>
      </c>
      <c r="F12" s="7" t="s">
        <v>1341</v>
      </c>
      <c r="G12" s="7">
        <v>20</v>
      </c>
      <c r="H12" s="7" t="s">
        <v>1771</v>
      </c>
      <c r="I12" s="7" t="s">
        <v>1771</v>
      </c>
      <c r="J12" s="8" t="s">
        <v>626</v>
      </c>
      <c r="K12" s="10" t="s">
        <v>2785</v>
      </c>
    </row>
    <row r="13" spans="1:11" s="5" customFormat="1" ht="38.25">
      <c r="A13" s="14">
        <f aca="true" t="shared" si="1" ref="A13:A44">A12+1</f>
        <v>9</v>
      </c>
      <c r="B13" s="14" t="s">
        <v>1470</v>
      </c>
      <c r="C13" s="9" t="s">
        <v>1772</v>
      </c>
      <c r="D13" s="8" t="s">
        <v>1775</v>
      </c>
      <c r="E13" s="37">
        <v>121551</v>
      </c>
      <c r="F13" s="10" t="s">
        <v>3357</v>
      </c>
      <c r="G13" s="7">
        <v>20</v>
      </c>
      <c r="H13" s="7" t="s">
        <v>1771</v>
      </c>
      <c r="I13" s="7" t="s">
        <v>1771</v>
      </c>
      <c r="J13" s="8" t="s">
        <v>628</v>
      </c>
      <c r="K13" s="10" t="s">
        <v>2785</v>
      </c>
    </row>
    <row r="14" spans="1:11" s="5" customFormat="1" ht="38.25">
      <c r="A14" s="14">
        <f t="shared" si="1"/>
        <v>10</v>
      </c>
      <c r="B14" s="14" t="s">
        <v>1471</v>
      </c>
      <c r="C14" s="9" t="s">
        <v>1772</v>
      </c>
      <c r="D14" s="8" t="s">
        <v>622</v>
      </c>
      <c r="E14" s="37">
        <v>436100</v>
      </c>
      <c r="F14" s="7" t="s">
        <v>1774</v>
      </c>
      <c r="G14" s="7">
        <v>20</v>
      </c>
      <c r="H14" s="7" t="s">
        <v>1771</v>
      </c>
      <c r="I14" s="7" t="s">
        <v>1771</v>
      </c>
      <c r="J14" s="8" t="s">
        <v>629</v>
      </c>
      <c r="K14" s="10" t="s">
        <v>2785</v>
      </c>
    </row>
    <row r="15" spans="1:11" s="5" customFormat="1" ht="38.25">
      <c r="A15" s="14">
        <f t="shared" si="1"/>
        <v>11</v>
      </c>
      <c r="B15" s="14" t="s">
        <v>1472</v>
      </c>
      <c r="C15" s="9" t="s">
        <v>1772</v>
      </c>
      <c r="D15" s="8" t="s">
        <v>624</v>
      </c>
      <c r="E15" s="37">
        <v>305101</v>
      </c>
      <c r="F15" s="7" t="s">
        <v>623</v>
      </c>
      <c r="G15" s="7">
        <v>10</v>
      </c>
      <c r="H15" s="7" t="s">
        <v>1771</v>
      </c>
      <c r="I15" s="7" t="s">
        <v>1771</v>
      </c>
      <c r="J15" s="8" t="s">
        <v>630</v>
      </c>
      <c r="K15" s="10" t="s">
        <v>2785</v>
      </c>
    </row>
    <row r="16" spans="1:11" s="5" customFormat="1" ht="25.5">
      <c r="A16" s="14">
        <f t="shared" si="1"/>
        <v>12</v>
      </c>
      <c r="B16" s="14" t="s">
        <v>1473</v>
      </c>
      <c r="C16" s="9" t="s">
        <v>633</v>
      </c>
      <c r="D16" s="8" t="s">
        <v>631</v>
      </c>
      <c r="E16" s="37">
        <v>310295</v>
      </c>
      <c r="F16" s="7" t="s">
        <v>1341</v>
      </c>
      <c r="G16" s="7">
        <v>20</v>
      </c>
      <c r="H16" s="7" t="s">
        <v>632</v>
      </c>
      <c r="I16" s="7" t="s">
        <v>632</v>
      </c>
      <c r="J16" s="15" t="s">
        <v>625</v>
      </c>
      <c r="K16" s="7" t="s">
        <v>2569</v>
      </c>
    </row>
    <row r="17" spans="1:11" s="5" customFormat="1" ht="25.5">
      <c r="A17" s="14">
        <f t="shared" si="1"/>
        <v>13</v>
      </c>
      <c r="B17" s="14" t="s">
        <v>1474</v>
      </c>
      <c r="C17" s="9" t="s">
        <v>633</v>
      </c>
      <c r="D17" s="8" t="s">
        <v>635</v>
      </c>
      <c r="E17" s="37">
        <v>331179</v>
      </c>
      <c r="F17" s="7" t="s">
        <v>1341</v>
      </c>
      <c r="G17" s="7">
        <v>35</v>
      </c>
      <c r="H17" s="7" t="s">
        <v>632</v>
      </c>
      <c r="I17" s="7" t="s">
        <v>632</v>
      </c>
      <c r="J17" s="15" t="s">
        <v>634</v>
      </c>
      <c r="K17" s="7" t="s">
        <v>2568</v>
      </c>
    </row>
    <row r="18" spans="1:11" s="5" customFormat="1" ht="38.25">
      <c r="A18" s="14">
        <f t="shared" si="1"/>
        <v>14</v>
      </c>
      <c r="B18" s="14" t="s">
        <v>1475</v>
      </c>
      <c r="C18" s="9" t="s">
        <v>639</v>
      </c>
      <c r="D18" s="8" t="s">
        <v>637</v>
      </c>
      <c r="E18" s="37">
        <v>565197</v>
      </c>
      <c r="F18" s="7" t="s">
        <v>2311</v>
      </c>
      <c r="G18" s="7">
        <v>35</v>
      </c>
      <c r="H18" s="7" t="s">
        <v>638</v>
      </c>
      <c r="I18" s="7" t="s">
        <v>638</v>
      </c>
      <c r="J18" s="15" t="s">
        <v>636</v>
      </c>
      <c r="K18" s="7" t="s">
        <v>2569</v>
      </c>
    </row>
    <row r="19" spans="1:11" s="5" customFormat="1" ht="38.25">
      <c r="A19" s="14">
        <f t="shared" si="1"/>
        <v>15</v>
      </c>
      <c r="B19" s="14" t="s">
        <v>1476</v>
      </c>
      <c r="C19" s="9" t="s">
        <v>646</v>
      </c>
      <c r="D19" s="8" t="s">
        <v>642</v>
      </c>
      <c r="E19" s="37">
        <v>84674</v>
      </c>
      <c r="F19" s="10" t="s">
        <v>641</v>
      </c>
      <c r="G19" s="7">
        <v>35</v>
      </c>
      <c r="H19" s="7" t="s">
        <v>643</v>
      </c>
      <c r="I19" s="7" t="s">
        <v>643</v>
      </c>
      <c r="J19" s="15" t="s">
        <v>640</v>
      </c>
      <c r="K19" s="7" t="s">
        <v>2568</v>
      </c>
    </row>
    <row r="20" spans="1:11" s="5" customFormat="1" ht="38.25" customHeight="1">
      <c r="A20" s="14">
        <f t="shared" si="1"/>
        <v>16</v>
      </c>
      <c r="B20" s="14" t="s">
        <v>1477</v>
      </c>
      <c r="C20" s="9" t="s">
        <v>646</v>
      </c>
      <c r="D20" s="8" t="s">
        <v>645</v>
      </c>
      <c r="E20" s="37">
        <v>90050</v>
      </c>
      <c r="F20" s="7" t="s">
        <v>3357</v>
      </c>
      <c r="G20" s="7">
        <v>35</v>
      </c>
      <c r="H20" s="7" t="s">
        <v>643</v>
      </c>
      <c r="I20" s="7" t="s">
        <v>643</v>
      </c>
      <c r="J20" s="15" t="s">
        <v>644</v>
      </c>
      <c r="K20" s="7" t="s">
        <v>2568</v>
      </c>
    </row>
    <row r="21" spans="1:11" s="5" customFormat="1" ht="25.5">
      <c r="A21" s="14">
        <f t="shared" si="1"/>
        <v>17</v>
      </c>
      <c r="B21" s="14" t="s">
        <v>1478</v>
      </c>
      <c r="C21" s="9" t="s">
        <v>650</v>
      </c>
      <c r="D21" s="8" t="s">
        <v>647</v>
      </c>
      <c r="E21" s="37">
        <v>108802</v>
      </c>
      <c r="F21" s="7" t="s">
        <v>649</v>
      </c>
      <c r="G21" s="7">
        <v>20</v>
      </c>
      <c r="H21" s="7" t="s">
        <v>651</v>
      </c>
      <c r="I21" s="3" t="s">
        <v>652</v>
      </c>
      <c r="J21" s="8" t="s">
        <v>648</v>
      </c>
      <c r="K21" s="10" t="s">
        <v>2877</v>
      </c>
    </row>
    <row r="22" spans="1:11" s="5" customFormat="1" ht="51">
      <c r="A22" s="14">
        <f t="shared" si="1"/>
        <v>18</v>
      </c>
      <c r="B22" s="14" t="s">
        <v>1479</v>
      </c>
      <c r="C22" s="9" t="s">
        <v>656</v>
      </c>
      <c r="D22" s="8" t="s">
        <v>653</v>
      </c>
      <c r="E22" s="37">
        <v>199400</v>
      </c>
      <c r="F22" s="10" t="s">
        <v>654</v>
      </c>
      <c r="G22" s="7">
        <v>35</v>
      </c>
      <c r="H22" s="7" t="s">
        <v>651</v>
      </c>
      <c r="I22" s="7" t="s">
        <v>651</v>
      </c>
      <c r="J22" s="8" t="s">
        <v>655</v>
      </c>
      <c r="K22" s="10" t="s">
        <v>2569</v>
      </c>
    </row>
    <row r="23" spans="1:11" s="5" customFormat="1" ht="51">
      <c r="A23" s="14">
        <f t="shared" si="1"/>
        <v>19</v>
      </c>
      <c r="B23" s="14" t="s">
        <v>1480</v>
      </c>
      <c r="C23" s="9" t="s">
        <v>656</v>
      </c>
      <c r="D23" s="8" t="s">
        <v>658</v>
      </c>
      <c r="E23" s="37">
        <v>175800</v>
      </c>
      <c r="F23" s="7" t="s">
        <v>657</v>
      </c>
      <c r="G23" s="7">
        <v>35</v>
      </c>
      <c r="H23" s="10" t="s">
        <v>651</v>
      </c>
      <c r="I23" s="10" t="s">
        <v>651</v>
      </c>
      <c r="J23" s="8" t="s">
        <v>659</v>
      </c>
      <c r="K23" s="10" t="s">
        <v>2568</v>
      </c>
    </row>
    <row r="24" spans="1:11" s="5" customFormat="1" ht="25.5">
      <c r="A24" s="14">
        <f t="shared" si="1"/>
        <v>20</v>
      </c>
      <c r="B24" s="14" t="s">
        <v>1481</v>
      </c>
      <c r="C24" s="9" t="s">
        <v>650</v>
      </c>
      <c r="D24" s="8" t="s">
        <v>660</v>
      </c>
      <c r="E24" s="37">
        <v>1875564</v>
      </c>
      <c r="F24" s="7" t="s">
        <v>623</v>
      </c>
      <c r="G24" s="7">
        <v>15</v>
      </c>
      <c r="H24" s="7" t="s">
        <v>651</v>
      </c>
      <c r="I24" s="3" t="s">
        <v>652</v>
      </c>
      <c r="J24" s="15" t="s">
        <v>661</v>
      </c>
      <c r="K24" s="7" t="s">
        <v>2877</v>
      </c>
    </row>
    <row r="25" spans="1:11" s="5" customFormat="1" ht="25.5">
      <c r="A25" s="14">
        <f t="shared" si="1"/>
        <v>21</v>
      </c>
      <c r="B25" s="14" t="s">
        <v>1482</v>
      </c>
      <c r="C25" s="9" t="s">
        <v>650</v>
      </c>
      <c r="D25" s="8" t="s">
        <v>664</v>
      </c>
      <c r="E25" s="37">
        <v>151105</v>
      </c>
      <c r="F25" s="7" t="s">
        <v>663</v>
      </c>
      <c r="G25" s="7">
        <v>20</v>
      </c>
      <c r="H25" s="7" t="s">
        <v>651</v>
      </c>
      <c r="I25" s="3" t="s">
        <v>652</v>
      </c>
      <c r="J25" s="15" t="s">
        <v>662</v>
      </c>
      <c r="K25" s="7" t="s">
        <v>2877</v>
      </c>
    </row>
    <row r="26" spans="1:11" s="5" customFormat="1" ht="25.5">
      <c r="A26" s="14">
        <f t="shared" si="1"/>
        <v>22</v>
      </c>
      <c r="B26" s="14" t="s">
        <v>1483</v>
      </c>
      <c r="C26" s="9" t="s">
        <v>668</v>
      </c>
      <c r="D26" s="8" t="s">
        <v>666</v>
      </c>
      <c r="E26" s="37">
        <v>252788</v>
      </c>
      <c r="F26" s="7" t="s">
        <v>3357</v>
      </c>
      <c r="G26" s="7">
        <v>35</v>
      </c>
      <c r="H26" s="7" t="s">
        <v>667</v>
      </c>
      <c r="I26" s="7" t="s">
        <v>667</v>
      </c>
      <c r="J26" s="15" t="s">
        <v>665</v>
      </c>
      <c r="K26" s="7" t="s">
        <v>308</v>
      </c>
    </row>
    <row r="27" spans="1:11" s="5" customFormat="1" ht="25.5">
      <c r="A27" s="14">
        <f t="shared" si="1"/>
        <v>23</v>
      </c>
      <c r="B27" s="14" t="s">
        <v>1484</v>
      </c>
      <c r="C27" s="9" t="s">
        <v>668</v>
      </c>
      <c r="D27" s="8" t="s">
        <v>670</v>
      </c>
      <c r="E27" s="37">
        <v>362213</v>
      </c>
      <c r="F27" s="7" t="s">
        <v>1774</v>
      </c>
      <c r="G27" s="7">
        <v>35</v>
      </c>
      <c r="H27" s="7" t="s">
        <v>667</v>
      </c>
      <c r="I27" s="7" t="s">
        <v>667</v>
      </c>
      <c r="J27" s="8" t="s">
        <v>669</v>
      </c>
      <c r="K27" s="10" t="s">
        <v>308</v>
      </c>
    </row>
    <row r="28" spans="1:11" s="5" customFormat="1" ht="25.5">
      <c r="A28" s="14">
        <f t="shared" si="1"/>
        <v>24</v>
      </c>
      <c r="B28" s="14" t="s">
        <v>1485</v>
      </c>
      <c r="C28" s="9" t="s">
        <v>668</v>
      </c>
      <c r="D28" s="8" t="s">
        <v>672</v>
      </c>
      <c r="E28" s="37">
        <v>174000</v>
      </c>
      <c r="F28" s="7" t="s">
        <v>1774</v>
      </c>
      <c r="G28" s="7">
        <v>35</v>
      </c>
      <c r="H28" s="7" t="s">
        <v>667</v>
      </c>
      <c r="I28" s="7" t="s">
        <v>667</v>
      </c>
      <c r="J28" s="15" t="s">
        <v>671</v>
      </c>
      <c r="K28" s="7" t="s">
        <v>308</v>
      </c>
    </row>
    <row r="29" spans="1:11" s="5" customFormat="1" ht="25.5">
      <c r="A29" s="14">
        <f t="shared" si="1"/>
        <v>25</v>
      </c>
      <c r="B29" s="14" t="s">
        <v>1486</v>
      </c>
      <c r="C29" s="9" t="s">
        <v>668</v>
      </c>
      <c r="D29" s="8" t="s">
        <v>674</v>
      </c>
      <c r="E29" s="37">
        <v>253280</v>
      </c>
      <c r="F29" s="7" t="s">
        <v>1774</v>
      </c>
      <c r="G29" s="7">
        <v>35</v>
      </c>
      <c r="H29" s="7" t="s">
        <v>667</v>
      </c>
      <c r="I29" s="7" t="s">
        <v>667</v>
      </c>
      <c r="J29" s="15" t="s">
        <v>673</v>
      </c>
      <c r="K29" s="7" t="s">
        <v>308</v>
      </c>
    </row>
    <row r="30" spans="1:11" s="5" customFormat="1" ht="25.5">
      <c r="A30" s="14">
        <f t="shared" si="1"/>
        <v>26</v>
      </c>
      <c r="B30" s="14" t="s">
        <v>1487</v>
      </c>
      <c r="C30" s="9" t="s">
        <v>668</v>
      </c>
      <c r="D30" s="8" t="s">
        <v>676</v>
      </c>
      <c r="E30" s="37">
        <v>363153</v>
      </c>
      <c r="F30" s="7" t="s">
        <v>3357</v>
      </c>
      <c r="G30" s="7">
        <v>35</v>
      </c>
      <c r="H30" s="7" t="s">
        <v>667</v>
      </c>
      <c r="I30" s="7" t="s">
        <v>667</v>
      </c>
      <c r="J30" s="15" t="s">
        <v>675</v>
      </c>
      <c r="K30" s="7" t="s">
        <v>308</v>
      </c>
    </row>
    <row r="31" spans="1:11" s="5" customFormat="1" ht="25.5">
      <c r="A31" s="14">
        <f t="shared" si="1"/>
        <v>27</v>
      </c>
      <c r="B31" s="14" t="s">
        <v>1488</v>
      </c>
      <c r="C31" s="9" t="s">
        <v>668</v>
      </c>
      <c r="D31" s="8" t="s">
        <v>677</v>
      </c>
      <c r="E31" s="37">
        <v>343200</v>
      </c>
      <c r="F31" s="7" t="s">
        <v>3357</v>
      </c>
      <c r="G31" s="7">
        <v>35</v>
      </c>
      <c r="H31" s="7" t="s">
        <v>667</v>
      </c>
      <c r="I31" s="7" t="s">
        <v>667</v>
      </c>
      <c r="J31" s="15" t="s">
        <v>678</v>
      </c>
      <c r="K31" s="7" t="s">
        <v>308</v>
      </c>
    </row>
    <row r="32" spans="1:11" s="5" customFormat="1" ht="38.25">
      <c r="A32" s="14">
        <f t="shared" si="1"/>
        <v>28</v>
      </c>
      <c r="B32" s="14" t="s">
        <v>1489</v>
      </c>
      <c r="C32" s="9" t="s">
        <v>682</v>
      </c>
      <c r="D32" s="8" t="s">
        <v>680</v>
      </c>
      <c r="E32" s="37">
        <v>371032</v>
      </c>
      <c r="F32" s="7" t="s">
        <v>623</v>
      </c>
      <c r="G32" s="7">
        <v>25</v>
      </c>
      <c r="H32" s="7" t="s">
        <v>681</v>
      </c>
      <c r="I32" s="7" t="s">
        <v>681</v>
      </c>
      <c r="J32" s="15" t="s">
        <v>679</v>
      </c>
      <c r="K32" s="7" t="s">
        <v>2849</v>
      </c>
    </row>
    <row r="33" spans="1:11" s="5" customFormat="1" ht="76.5">
      <c r="A33" s="14">
        <f t="shared" si="1"/>
        <v>29</v>
      </c>
      <c r="B33" s="14" t="s">
        <v>1490</v>
      </c>
      <c r="C33" s="9" t="s">
        <v>685</v>
      </c>
      <c r="D33" s="8" t="s">
        <v>683</v>
      </c>
      <c r="E33" s="37">
        <v>69655</v>
      </c>
      <c r="F33" s="7" t="s">
        <v>623</v>
      </c>
      <c r="G33" s="7">
        <v>15</v>
      </c>
      <c r="H33" s="10" t="s">
        <v>684</v>
      </c>
      <c r="I33" s="3" t="s">
        <v>2318</v>
      </c>
      <c r="J33" s="8" t="s">
        <v>686</v>
      </c>
      <c r="K33" s="10" t="s">
        <v>1183</v>
      </c>
    </row>
    <row r="34" spans="1:11" s="5" customFormat="1" ht="38.25">
      <c r="A34" s="14">
        <f t="shared" si="1"/>
        <v>30</v>
      </c>
      <c r="B34" s="14" t="s">
        <v>1491</v>
      </c>
      <c r="C34" s="9" t="s">
        <v>691</v>
      </c>
      <c r="D34" s="8" t="s">
        <v>688</v>
      </c>
      <c r="E34" s="37">
        <v>107514</v>
      </c>
      <c r="F34" s="7" t="s">
        <v>3357</v>
      </c>
      <c r="G34" s="7">
        <v>25</v>
      </c>
      <c r="H34" s="7" t="s">
        <v>689</v>
      </c>
      <c r="I34" s="3" t="s">
        <v>690</v>
      </c>
      <c r="J34" s="15" t="s">
        <v>687</v>
      </c>
      <c r="K34" s="7" t="s">
        <v>1183</v>
      </c>
    </row>
    <row r="35" spans="1:11" s="5" customFormat="1" ht="38.25">
      <c r="A35" s="14">
        <f t="shared" si="1"/>
        <v>31</v>
      </c>
      <c r="B35" s="14" t="s">
        <v>1492</v>
      </c>
      <c r="C35" s="9" t="s">
        <v>691</v>
      </c>
      <c r="D35" s="8" t="s">
        <v>2584</v>
      </c>
      <c r="E35" s="37">
        <v>132436</v>
      </c>
      <c r="F35" s="7" t="s">
        <v>3357</v>
      </c>
      <c r="G35" s="7">
        <v>35</v>
      </c>
      <c r="H35" s="7" t="s">
        <v>689</v>
      </c>
      <c r="I35" s="3" t="s">
        <v>690</v>
      </c>
      <c r="J35" s="15" t="s">
        <v>2583</v>
      </c>
      <c r="K35" s="7" t="s">
        <v>1183</v>
      </c>
    </row>
    <row r="36" spans="1:11" s="5" customFormat="1" ht="38.25">
      <c r="A36" s="14">
        <f t="shared" si="1"/>
        <v>32</v>
      </c>
      <c r="B36" s="14" t="s">
        <v>1493</v>
      </c>
      <c r="C36" s="9" t="s">
        <v>691</v>
      </c>
      <c r="D36" s="8" t="s">
        <v>2586</v>
      </c>
      <c r="E36" s="37">
        <v>174184</v>
      </c>
      <c r="F36" s="7" t="s">
        <v>3357</v>
      </c>
      <c r="G36" s="7">
        <v>35</v>
      </c>
      <c r="H36" s="7" t="s">
        <v>689</v>
      </c>
      <c r="I36" s="3" t="s">
        <v>690</v>
      </c>
      <c r="J36" s="15" t="s">
        <v>2585</v>
      </c>
      <c r="K36" s="7" t="s">
        <v>3243</v>
      </c>
    </row>
    <row r="37" spans="1:11" s="5" customFormat="1" ht="38.25">
      <c r="A37" s="14">
        <f t="shared" si="1"/>
        <v>33</v>
      </c>
      <c r="B37" s="14" t="s">
        <v>1494</v>
      </c>
      <c r="C37" s="9" t="s">
        <v>691</v>
      </c>
      <c r="D37" s="8" t="s">
        <v>2588</v>
      </c>
      <c r="E37" s="37">
        <v>109487</v>
      </c>
      <c r="F37" s="7" t="s">
        <v>2589</v>
      </c>
      <c r="G37" s="7">
        <v>35</v>
      </c>
      <c r="H37" s="7" t="s">
        <v>689</v>
      </c>
      <c r="I37" s="3" t="s">
        <v>690</v>
      </c>
      <c r="J37" s="15" t="s">
        <v>2587</v>
      </c>
      <c r="K37" s="7" t="s">
        <v>1183</v>
      </c>
    </row>
    <row r="38" spans="1:11" s="5" customFormat="1" ht="51">
      <c r="A38" s="14">
        <f t="shared" si="1"/>
        <v>34</v>
      </c>
      <c r="B38" s="14" t="s">
        <v>1495</v>
      </c>
      <c r="C38" s="9" t="s">
        <v>685</v>
      </c>
      <c r="D38" s="8" t="s">
        <v>2590</v>
      </c>
      <c r="E38" s="37">
        <v>84057</v>
      </c>
      <c r="F38" s="7" t="s">
        <v>623</v>
      </c>
      <c r="G38" s="7">
        <v>22</v>
      </c>
      <c r="H38" s="7" t="s">
        <v>735</v>
      </c>
      <c r="I38" s="3" t="s">
        <v>2318</v>
      </c>
      <c r="J38" s="8" t="s">
        <v>2591</v>
      </c>
      <c r="K38" s="10" t="s">
        <v>2850</v>
      </c>
    </row>
    <row r="39" spans="1:11" s="5" customFormat="1" ht="25.5">
      <c r="A39" s="14">
        <f t="shared" si="1"/>
        <v>35</v>
      </c>
      <c r="B39" s="14" t="s">
        <v>1496</v>
      </c>
      <c r="C39" s="9" t="s">
        <v>2597</v>
      </c>
      <c r="D39" s="8" t="s">
        <v>2593</v>
      </c>
      <c r="E39" s="37">
        <v>171896</v>
      </c>
      <c r="F39" s="7" t="s">
        <v>2594</v>
      </c>
      <c r="G39" s="7">
        <v>35</v>
      </c>
      <c r="H39" s="7" t="s">
        <v>2595</v>
      </c>
      <c r="I39" s="3" t="s">
        <v>2596</v>
      </c>
      <c r="J39" s="15" t="s">
        <v>2592</v>
      </c>
      <c r="K39" s="7" t="s">
        <v>1179</v>
      </c>
    </row>
    <row r="40" spans="1:11" s="5" customFormat="1" ht="25.5">
      <c r="A40" s="14">
        <f t="shared" si="1"/>
        <v>36</v>
      </c>
      <c r="B40" s="14" t="s">
        <v>1497</v>
      </c>
      <c r="C40" s="9" t="s">
        <v>2597</v>
      </c>
      <c r="D40" s="8" t="s">
        <v>2599</v>
      </c>
      <c r="E40" s="37">
        <v>525012</v>
      </c>
      <c r="F40" s="7" t="s">
        <v>623</v>
      </c>
      <c r="G40" s="7">
        <v>35</v>
      </c>
      <c r="H40" s="7" t="s">
        <v>2595</v>
      </c>
      <c r="I40" s="3" t="s">
        <v>2596</v>
      </c>
      <c r="J40" s="15" t="s">
        <v>2598</v>
      </c>
      <c r="K40" s="7" t="s">
        <v>1179</v>
      </c>
    </row>
    <row r="41" spans="1:11" s="5" customFormat="1" ht="25.5">
      <c r="A41" s="14">
        <f t="shared" si="1"/>
        <v>37</v>
      </c>
      <c r="B41" s="14" t="s">
        <v>1498</v>
      </c>
      <c r="C41" s="9" t="s">
        <v>2597</v>
      </c>
      <c r="D41" s="8" t="s">
        <v>2601</v>
      </c>
      <c r="E41" s="37">
        <v>883301</v>
      </c>
      <c r="F41" s="7" t="s">
        <v>2602</v>
      </c>
      <c r="G41" s="7">
        <v>35</v>
      </c>
      <c r="H41" s="7" t="s">
        <v>2595</v>
      </c>
      <c r="I41" s="3" t="s">
        <v>2596</v>
      </c>
      <c r="J41" s="15" t="s">
        <v>2600</v>
      </c>
      <c r="K41" s="7" t="s">
        <v>1179</v>
      </c>
    </row>
    <row r="42" spans="1:11" s="5" customFormat="1" ht="51">
      <c r="A42" s="14">
        <f t="shared" si="1"/>
        <v>38</v>
      </c>
      <c r="B42" s="14" t="s">
        <v>1499</v>
      </c>
      <c r="C42" s="9" t="s">
        <v>1927</v>
      </c>
      <c r="D42" s="8" t="s">
        <v>2603</v>
      </c>
      <c r="E42" s="37">
        <v>1416000</v>
      </c>
      <c r="F42" s="7" t="s">
        <v>623</v>
      </c>
      <c r="G42" s="7">
        <v>35</v>
      </c>
      <c r="H42" s="7" t="s">
        <v>2604</v>
      </c>
      <c r="I42" s="7" t="s">
        <v>2604</v>
      </c>
      <c r="J42" s="8" t="s">
        <v>1928</v>
      </c>
      <c r="K42" s="10" t="s">
        <v>2851</v>
      </c>
    </row>
    <row r="43" spans="1:11" s="5" customFormat="1" ht="51">
      <c r="A43" s="14">
        <f t="shared" si="1"/>
        <v>39</v>
      </c>
      <c r="B43" s="14" t="s">
        <v>1500</v>
      </c>
      <c r="C43" s="9" t="s">
        <v>1927</v>
      </c>
      <c r="D43" s="8" t="s">
        <v>1925</v>
      </c>
      <c r="E43" s="37">
        <v>802700</v>
      </c>
      <c r="F43" s="7" t="s">
        <v>623</v>
      </c>
      <c r="G43" s="7">
        <v>18</v>
      </c>
      <c r="H43" s="7" t="s">
        <v>2604</v>
      </c>
      <c r="I43" s="7" t="s">
        <v>2604</v>
      </c>
      <c r="J43" s="8" t="s">
        <v>1926</v>
      </c>
      <c r="K43" s="10" t="s">
        <v>2851</v>
      </c>
    </row>
    <row r="44" spans="1:11" s="5" customFormat="1" ht="51">
      <c r="A44" s="14">
        <f t="shared" si="1"/>
        <v>40</v>
      </c>
      <c r="B44" s="14" t="s">
        <v>1502</v>
      </c>
      <c r="C44" s="9" t="s">
        <v>1927</v>
      </c>
      <c r="D44" s="8" t="s">
        <v>2324</v>
      </c>
      <c r="E44" s="37">
        <v>839070</v>
      </c>
      <c r="F44" s="7" t="s">
        <v>623</v>
      </c>
      <c r="G44" s="7">
        <v>30</v>
      </c>
      <c r="H44" s="7" t="s">
        <v>2604</v>
      </c>
      <c r="I44" s="7" t="s">
        <v>2604</v>
      </c>
      <c r="J44" s="8" t="s">
        <v>1607</v>
      </c>
      <c r="K44" s="10" t="s">
        <v>2851</v>
      </c>
    </row>
    <row r="45" spans="1:11" s="5" customFormat="1" ht="51">
      <c r="A45" s="14">
        <f aca="true" t="shared" si="2" ref="A45:A76">A44+1</f>
        <v>41</v>
      </c>
      <c r="B45" s="14" t="s">
        <v>1503</v>
      </c>
      <c r="C45" s="9" t="s">
        <v>1927</v>
      </c>
      <c r="D45" s="8" t="s">
        <v>1608</v>
      </c>
      <c r="E45" s="37">
        <v>1031540</v>
      </c>
      <c r="F45" s="7" t="s">
        <v>623</v>
      </c>
      <c r="G45" s="7">
        <v>20</v>
      </c>
      <c r="H45" s="7" t="s">
        <v>2604</v>
      </c>
      <c r="I45" s="7" t="s">
        <v>2604</v>
      </c>
      <c r="J45" s="8" t="s">
        <v>1609</v>
      </c>
      <c r="K45" s="10" t="s">
        <v>2851</v>
      </c>
    </row>
    <row r="46" spans="1:11" s="5" customFormat="1" ht="25.5">
      <c r="A46" s="14">
        <f t="shared" si="2"/>
        <v>42</v>
      </c>
      <c r="B46" s="14" t="s">
        <v>1504</v>
      </c>
      <c r="C46" s="9" t="s">
        <v>1613</v>
      </c>
      <c r="D46" s="8" t="s">
        <v>1611</v>
      </c>
      <c r="E46" s="37">
        <v>227000</v>
      </c>
      <c r="F46" s="7" t="s">
        <v>3357</v>
      </c>
      <c r="G46" s="7">
        <v>35</v>
      </c>
      <c r="H46" s="7" t="s">
        <v>1349</v>
      </c>
      <c r="I46" s="3" t="s">
        <v>1612</v>
      </c>
      <c r="J46" s="15" t="s">
        <v>1610</v>
      </c>
      <c r="K46" s="7" t="s">
        <v>1751</v>
      </c>
    </row>
    <row r="47" spans="1:11" s="5" customFormat="1" ht="38.25">
      <c r="A47" s="14">
        <f t="shared" si="2"/>
        <v>43</v>
      </c>
      <c r="B47" s="14" t="s">
        <v>1505</v>
      </c>
      <c r="C47" s="9" t="s">
        <v>1613</v>
      </c>
      <c r="D47" s="8" t="s">
        <v>1615</v>
      </c>
      <c r="E47" s="37">
        <v>73000</v>
      </c>
      <c r="F47" s="7" t="s">
        <v>3357</v>
      </c>
      <c r="G47" s="7">
        <v>35</v>
      </c>
      <c r="H47" s="7" t="s">
        <v>1349</v>
      </c>
      <c r="I47" s="3" t="s">
        <v>1612</v>
      </c>
      <c r="J47" s="15" t="s">
        <v>1614</v>
      </c>
      <c r="K47" s="7" t="s">
        <v>1751</v>
      </c>
    </row>
    <row r="48" spans="1:11" s="5" customFormat="1" ht="25.5">
      <c r="A48" s="14">
        <f t="shared" si="2"/>
        <v>44</v>
      </c>
      <c r="B48" s="14" t="s">
        <v>1506</v>
      </c>
      <c r="C48" s="9" t="s">
        <v>1621</v>
      </c>
      <c r="D48" s="8" t="s">
        <v>1617</v>
      </c>
      <c r="E48" s="37">
        <v>77100</v>
      </c>
      <c r="F48" s="7" t="s">
        <v>1619</v>
      </c>
      <c r="G48" s="7">
        <v>35</v>
      </c>
      <c r="H48" s="7" t="s">
        <v>1620</v>
      </c>
      <c r="I48" s="7" t="s">
        <v>1620</v>
      </c>
      <c r="J48" s="15" t="s">
        <v>1616</v>
      </c>
      <c r="K48" s="7" t="s">
        <v>2497</v>
      </c>
    </row>
    <row r="49" spans="1:11" s="5" customFormat="1" ht="25.5">
      <c r="A49" s="14">
        <f t="shared" si="2"/>
        <v>45</v>
      </c>
      <c r="B49" s="14" t="s">
        <v>1507</v>
      </c>
      <c r="C49" s="9" t="s">
        <v>1621</v>
      </c>
      <c r="D49" s="8" t="s">
        <v>1622</v>
      </c>
      <c r="E49" s="37">
        <v>118500</v>
      </c>
      <c r="F49" s="7" t="s">
        <v>1618</v>
      </c>
      <c r="G49" s="7">
        <v>35</v>
      </c>
      <c r="H49" s="7" t="s">
        <v>1620</v>
      </c>
      <c r="I49" s="7" t="s">
        <v>1620</v>
      </c>
      <c r="J49" s="15" t="s">
        <v>1623</v>
      </c>
      <c r="K49" s="7" t="s">
        <v>2498</v>
      </c>
    </row>
    <row r="50" spans="1:11" s="5" customFormat="1" ht="25.5">
      <c r="A50" s="14">
        <f t="shared" si="2"/>
        <v>46</v>
      </c>
      <c r="B50" s="14" t="s">
        <v>1508</v>
      </c>
      <c r="C50" s="9" t="s">
        <v>1627</v>
      </c>
      <c r="D50" s="8" t="s">
        <v>1625</v>
      </c>
      <c r="E50" s="37">
        <v>374000</v>
      </c>
      <c r="F50" s="7" t="s">
        <v>623</v>
      </c>
      <c r="G50" s="7">
        <v>30</v>
      </c>
      <c r="H50" s="7" t="s">
        <v>1626</v>
      </c>
      <c r="I50" s="7" t="s">
        <v>1626</v>
      </c>
      <c r="J50" s="8" t="s">
        <v>1624</v>
      </c>
      <c r="K50" s="10" t="s">
        <v>307</v>
      </c>
    </row>
    <row r="51" spans="1:11" s="5" customFormat="1" ht="51">
      <c r="A51" s="14">
        <f t="shared" si="2"/>
        <v>47</v>
      </c>
      <c r="B51" s="14" t="s">
        <v>1509</v>
      </c>
      <c r="C51" s="9" t="s">
        <v>1629</v>
      </c>
      <c r="D51" s="8" t="s">
        <v>1628</v>
      </c>
      <c r="E51" s="37">
        <v>459900</v>
      </c>
      <c r="F51" s="7" t="s">
        <v>623</v>
      </c>
      <c r="G51" s="7">
        <v>25</v>
      </c>
      <c r="H51" s="7" t="s">
        <v>1626</v>
      </c>
      <c r="I51" s="7" t="s">
        <v>1626</v>
      </c>
      <c r="J51" s="8" t="s">
        <v>1630</v>
      </c>
      <c r="K51" s="10" t="s">
        <v>2570</v>
      </c>
    </row>
    <row r="52" spans="1:11" s="5" customFormat="1" ht="38.25">
      <c r="A52" s="14">
        <f t="shared" si="2"/>
        <v>48</v>
      </c>
      <c r="B52" s="14" t="s">
        <v>1510</v>
      </c>
      <c r="C52" s="9" t="s">
        <v>1633</v>
      </c>
      <c r="D52" s="8" t="s">
        <v>1632</v>
      </c>
      <c r="E52" s="37">
        <v>53300</v>
      </c>
      <c r="F52" s="7" t="s">
        <v>2921</v>
      </c>
      <c r="G52" s="7">
        <v>20</v>
      </c>
      <c r="H52" s="7" t="s">
        <v>1626</v>
      </c>
      <c r="I52" s="7" t="s">
        <v>1626</v>
      </c>
      <c r="J52" s="15" t="s">
        <v>1631</v>
      </c>
      <c r="K52" s="7" t="s">
        <v>307</v>
      </c>
    </row>
    <row r="53" spans="1:11" s="5" customFormat="1" ht="25.5" customHeight="1">
      <c r="A53" s="14">
        <f t="shared" si="2"/>
        <v>49</v>
      </c>
      <c r="B53" s="14" t="s">
        <v>1511</v>
      </c>
      <c r="C53" s="9" t="s">
        <v>1635</v>
      </c>
      <c r="D53" s="8" t="s">
        <v>1634</v>
      </c>
      <c r="E53" s="37">
        <v>199637</v>
      </c>
      <c r="F53" s="7" t="s">
        <v>623</v>
      </c>
      <c r="G53" s="7">
        <v>25</v>
      </c>
      <c r="H53" s="7" t="s">
        <v>1626</v>
      </c>
      <c r="I53" s="7" t="s">
        <v>1626</v>
      </c>
      <c r="J53" s="8" t="s">
        <v>1636</v>
      </c>
      <c r="K53" s="10" t="s">
        <v>307</v>
      </c>
    </row>
    <row r="54" spans="1:11" s="5" customFormat="1" ht="25.5" customHeight="1">
      <c r="A54" s="14">
        <f t="shared" si="2"/>
        <v>50</v>
      </c>
      <c r="B54" s="14" t="s">
        <v>1512</v>
      </c>
      <c r="C54" s="9" t="s">
        <v>682</v>
      </c>
      <c r="D54" s="8" t="s">
        <v>947</v>
      </c>
      <c r="E54" s="37">
        <v>359200</v>
      </c>
      <c r="F54" s="7" t="s">
        <v>623</v>
      </c>
      <c r="G54" s="7">
        <v>35</v>
      </c>
      <c r="H54" s="7" t="s">
        <v>1626</v>
      </c>
      <c r="I54" s="7" t="s">
        <v>1626</v>
      </c>
      <c r="J54" s="15" t="s">
        <v>946</v>
      </c>
      <c r="K54" s="7" t="s">
        <v>307</v>
      </c>
    </row>
    <row r="55" spans="1:11" s="5" customFormat="1" ht="38.25">
      <c r="A55" s="14">
        <f t="shared" si="2"/>
        <v>51</v>
      </c>
      <c r="B55" s="14" t="s">
        <v>1513</v>
      </c>
      <c r="C55" s="9" t="s">
        <v>951</v>
      </c>
      <c r="D55" s="8" t="s">
        <v>949</v>
      </c>
      <c r="E55" s="37">
        <v>92700</v>
      </c>
      <c r="F55" s="7" t="s">
        <v>623</v>
      </c>
      <c r="G55" s="7">
        <v>25</v>
      </c>
      <c r="H55" s="7" t="s">
        <v>950</v>
      </c>
      <c r="I55" s="7" t="s">
        <v>950</v>
      </c>
      <c r="J55" s="15" t="s">
        <v>948</v>
      </c>
      <c r="K55" s="7" t="s">
        <v>2827</v>
      </c>
    </row>
    <row r="56" spans="1:11" s="5" customFormat="1" ht="25.5">
      <c r="A56" s="14">
        <f t="shared" si="2"/>
        <v>52</v>
      </c>
      <c r="B56" s="14" t="s">
        <v>1514</v>
      </c>
      <c r="C56" s="9" t="s">
        <v>956</v>
      </c>
      <c r="D56" s="8" t="s">
        <v>953</v>
      </c>
      <c r="E56" s="37">
        <v>5755139</v>
      </c>
      <c r="F56" s="7" t="s">
        <v>954</v>
      </c>
      <c r="G56" s="7">
        <v>35</v>
      </c>
      <c r="H56" s="7" t="s">
        <v>955</v>
      </c>
      <c r="I56" s="3" t="s">
        <v>173</v>
      </c>
      <c r="J56" s="15" t="s">
        <v>952</v>
      </c>
      <c r="K56" s="7" t="s">
        <v>316</v>
      </c>
    </row>
    <row r="57" spans="1:11" s="5" customFormat="1" ht="38.25">
      <c r="A57" s="14">
        <f t="shared" si="2"/>
        <v>53</v>
      </c>
      <c r="B57" s="14" t="s">
        <v>1515</v>
      </c>
      <c r="C57" s="9" t="s">
        <v>959</v>
      </c>
      <c r="D57" s="8" t="s">
        <v>958</v>
      </c>
      <c r="E57" s="37">
        <v>194538</v>
      </c>
      <c r="F57" s="7" t="s">
        <v>623</v>
      </c>
      <c r="G57" s="7">
        <v>17</v>
      </c>
      <c r="H57" s="7" t="s">
        <v>2326</v>
      </c>
      <c r="I57" s="7" t="s">
        <v>2326</v>
      </c>
      <c r="J57" s="15" t="s">
        <v>957</v>
      </c>
      <c r="K57" s="7" t="s">
        <v>1158</v>
      </c>
    </row>
    <row r="58" spans="1:11" s="5" customFormat="1" ht="25.5">
      <c r="A58" s="14">
        <f t="shared" si="2"/>
        <v>54</v>
      </c>
      <c r="B58" s="14" t="s">
        <v>1516</v>
      </c>
      <c r="C58" s="9" t="s">
        <v>959</v>
      </c>
      <c r="D58" s="8" t="s">
        <v>961</v>
      </c>
      <c r="E58" s="37">
        <v>1385600</v>
      </c>
      <c r="F58" s="10" t="s">
        <v>1528</v>
      </c>
      <c r="G58" s="7">
        <v>25</v>
      </c>
      <c r="H58" s="7" t="s">
        <v>2326</v>
      </c>
      <c r="I58" s="7" t="s">
        <v>2326</v>
      </c>
      <c r="J58" s="15" t="s">
        <v>960</v>
      </c>
      <c r="K58" s="7" t="s">
        <v>1158</v>
      </c>
    </row>
    <row r="59" spans="1:11" s="5" customFormat="1" ht="25.5">
      <c r="A59" s="14">
        <f t="shared" si="2"/>
        <v>55</v>
      </c>
      <c r="B59" s="14" t="s">
        <v>1517</v>
      </c>
      <c r="C59" s="9" t="s">
        <v>959</v>
      </c>
      <c r="D59" s="8" t="s">
        <v>1530</v>
      </c>
      <c r="E59" s="37">
        <v>1003000</v>
      </c>
      <c r="F59" s="10" t="s">
        <v>1528</v>
      </c>
      <c r="G59" s="7">
        <v>25</v>
      </c>
      <c r="H59" s="7" t="s">
        <v>2326</v>
      </c>
      <c r="I59" s="7" t="s">
        <v>2326</v>
      </c>
      <c r="J59" s="15" t="s">
        <v>1529</v>
      </c>
      <c r="K59" s="7" t="s">
        <v>1158</v>
      </c>
    </row>
    <row r="60" spans="1:11" s="5" customFormat="1" ht="51">
      <c r="A60" s="14">
        <f t="shared" si="2"/>
        <v>56</v>
      </c>
      <c r="B60" s="14" t="s">
        <v>1518</v>
      </c>
      <c r="C60" s="9" t="s">
        <v>1927</v>
      </c>
      <c r="D60" s="8" t="s">
        <v>1531</v>
      </c>
      <c r="E60" s="37">
        <v>411900</v>
      </c>
      <c r="F60" s="7" t="s">
        <v>3357</v>
      </c>
      <c r="G60" s="7">
        <v>35</v>
      </c>
      <c r="H60" s="7" t="s">
        <v>1532</v>
      </c>
      <c r="I60" s="3" t="s">
        <v>1533</v>
      </c>
      <c r="J60" s="8" t="s">
        <v>1534</v>
      </c>
      <c r="K60" s="10" t="s">
        <v>2852</v>
      </c>
    </row>
    <row r="61" spans="1:11" s="5" customFormat="1" ht="25.5">
      <c r="A61" s="14">
        <f t="shared" si="2"/>
        <v>57</v>
      </c>
      <c r="B61" s="14" t="s">
        <v>1520</v>
      </c>
      <c r="C61" s="9" t="s">
        <v>1541</v>
      </c>
      <c r="D61" s="8" t="s">
        <v>1539</v>
      </c>
      <c r="E61" s="37">
        <v>78300</v>
      </c>
      <c r="F61" s="7" t="s">
        <v>623</v>
      </c>
      <c r="G61" s="7">
        <v>15</v>
      </c>
      <c r="H61" s="7" t="s">
        <v>1540</v>
      </c>
      <c r="I61" s="7" t="s">
        <v>1540</v>
      </c>
      <c r="J61" s="15" t="s">
        <v>1538</v>
      </c>
      <c r="K61" s="7" t="s">
        <v>2817</v>
      </c>
    </row>
    <row r="62" spans="1:11" s="5" customFormat="1" ht="38.25">
      <c r="A62" s="14">
        <f t="shared" si="2"/>
        <v>58</v>
      </c>
      <c r="B62" s="14" t="s">
        <v>1521</v>
      </c>
      <c r="C62" s="9" t="s">
        <v>1544</v>
      </c>
      <c r="D62" s="8" t="s">
        <v>1543</v>
      </c>
      <c r="E62" s="37">
        <v>139800</v>
      </c>
      <c r="F62" s="7" t="s">
        <v>3357</v>
      </c>
      <c r="G62" s="7">
        <v>35</v>
      </c>
      <c r="H62" s="7" t="s">
        <v>1540</v>
      </c>
      <c r="I62" s="7" t="s">
        <v>1540</v>
      </c>
      <c r="J62" s="15" t="s">
        <v>1542</v>
      </c>
      <c r="K62" s="7" t="s">
        <v>2817</v>
      </c>
    </row>
    <row r="63" spans="1:11" s="5" customFormat="1" ht="51">
      <c r="A63" s="14">
        <f t="shared" si="2"/>
        <v>59</v>
      </c>
      <c r="B63" s="14" t="s">
        <v>1522</v>
      </c>
      <c r="C63" s="9" t="s">
        <v>959</v>
      </c>
      <c r="D63" s="8" t="s">
        <v>2424</v>
      </c>
      <c r="E63" s="37">
        <v>39795</v>
      </c>
      <c r="F63" s="7" t="s">
        <v>623</v>
      </c>
      <c r="G63" s="7">
        <v>10</v>
      </c>
      <c r="H63" s="7" t="s">
        <v>110</v>
      </c>
      <c r="I63" s="7" t="s">
        <v>110</v>
      </c>
      <c r="J63" s="15" t="s">
        <v>1545</v>
      </c>
      <c r="K63" s="7" t="s">
        <v>1159</v>
      </c>
    </row>
    <row r="64" spans="1:11" s="5" customFormat="1" ht="51">
      <c r="A64" s="14">
        <f t="shared" si="2"/>
        <v>60</v>
      </c>
      <c r="B64" s="14" t="s">
        <v>1523</v>
      </c>
      <c r="C64" s="9" t="s">
        <v>2426</v>
      </c>
      <c r="D64" s="8" t="s">
        <v>2425</v>
      </c>
      <c r="E64" s="37">
        <v>106000</v>
      </c>
      <c r="F64" s="7" t="s">
        <v>1418</v>
      </c>
      <c r="G64" s="7">
        <v>25</v>
      </c>
      <c r="H64" s="7" t="s">
        <v>748</v>
      </c>
      <c r="I64" s="7" t="s">
        <v>748</v>
      </c>
      <c r="J64" s="8" t="s">
        <v>2427</v>
      </c>
      <c r="K64" s="10" t="s">
        <v>2828</v>
      </c>
    </row>
    <row r="65" spans="1:11" s="5" customFormat="1" ht="25.5">
      <c r="A65" s="14">
        <f t="shared" si="2"/>
        <v>61</v>
      </c>
      <c r="B65" s="14" t="s">
        <v>1524</v>
      </c>
      <c r="C65" s="9" t="s">
        <v>711</v>
      </c>
      <c r="D65" s="8" t="s">
        <v>709</v>
      </c>
      <c r="E65" s="37">
        <v>122490</v>
      </c>
      <c r="F65" s="7" t="s">
        <v>710</v>
      </c>
      <c r="G65" s="7">
        <v>25</v>
      </c>
      <c r="H65" s="7" t="s">
        <v>748</v>
      </c>
      <c r="I65" s="7" t="s">
        <v>748</v>
      </c>
      <c r="J65" s="15" t="s">
        <v>2428</v>
      </c>
      <c r="K65" s="7" t="s">
        <v>1184</v>
      </c>
    </row>
    <row r="66" spans="1:11" s="5" customFormat="1" ht="38.25">
      <c r="A66" s="14">
        <f t="shared" si="2"/>
        <v>62</v>
      </c>
      <c r="B66" s="14" t="s">
        <v>1525</v>
      </c>
      <c r="C66" s="9" t="s">
        <v>715</v>
      </c>
      <c r="D66" s="8" t="s">
        <v>713</v>
      </c>
      <c r="E66" s="37">
        <v>308904</v>
      </c>
      <c r="F66" s="7" t="s">
        <v>2311</v>
      </c>
      <c r="G66" s="7">
        <v>35</v>
      </c>
      <c r="H66" s="7" t="s">
        <v>714</v>
      </c>
      <c r="I66" s="7" t="s">
        <v>714</v>
      </c>
      <c r="J66" s="15" t="s">
        <v>712</v>
      </c>
      <c r="K66" s="7" t="s">
        <v>2895</v>
      </c>
    </row>
    <row r="67" spans="1:11" s="5" customFormat="1" ht="25.5" customHeight="1">
      <c r="A67" s="14">
        <f t="shared" si="2"/>
        <v>63</v>
      </c>
      <c r="B67" s="14" t="s">
        <v>1526</v>
      </c>
      <c r="C67" s="9" t="s">
        <v>715</v>
      </c>
      <c r="D67" s="8" t="s">
        <v>717</v>
      </c>
      <c r="E67" s="37">
        <v>105503</v>
      </c>
      <c r="F67" s="7" t="s">
        <v>2311</v>
      </c>
      <c r="G67" s="7">
        <v>35</v>
      </c>
      <c r="H67" s="7" t="s">
        <v>714</v>
      </c>
      <c r="I67" s="7" t="s">
        <v>714</v>
      </c>
      <c r="J67" s="15" t="s">
        <v>716</v>
      </c>
      <c r="K67" s="7" t="s">
        <v>2895</v>
      </c>
    </row>
    <row r="68" spans="1:11" s="5" customFormat="1" ht="25.5" customHeight="1">
      <c r="A68" s="14">
        <f t="shared" si="2"/>
        <v>64</v>
      </c>
      <c r="B68" s="14" t="s">
        <v>1527</v>
      </c>
      <c r="C68" s="9" t="s">
        <v>721</v>
      </c>
      <c r="D68" s="8" t="s">
        <v>718</v>
      </c>
      <c r="E68" s="37">
        <v>91738</v>
      </c>
      <c r="F68" s="7" t="s">
        <v>3357</v>
      </c>
      <c r="G68" s="7">
        <v>25</v>
      </c>
      <c r="H68" s="10" t="s">
        <v>719</v>
      </c>
      <c r="I68" s="3" t="s">
        <v>720</v>
      </c>
      <c r="J68" s="8" t="s">
        <v>722</v>
      </c>
      <c r="K68" s="10" t="s">
        <v>1160</v>
      </c>
    </row>
    <row r="69" spans="1:11" s="5" customFormat="1" ht="25.5">
      <c r="A69" s="14">
        <f t="shared" si="2"/>
        <v>65</v>
      </c>
      <c r="B69" s="14" t="s">
        <v>1556</v>
      </c>
      <c r="C69" s="9" t="s">
        <v>2264</v>
      </c>
      <c r="D69" s="8" t="s">
        <v>1547</v>
      </c>
      <c r="E69" s="37">
        <v>418489</v>
      </c>
      <c r="F69" s="7" t="s">
        <v>3357</v>
      </c>
      <c r="G69" s="7">
        <v>25</v>
      </c>
      <c r="H69" s="7" t="s">
        <v>1548</v>
      </c>
      <c r="I69" s="3" t="s">
        <v>1533</v>
      </c>
      <c r="J69" s="8" t="s">
        <v>1546</v>
      </c>
      <c r="K69" s="10" t="s">
        <v>2500</v>
      </c>
    </row>
    <row r="70" spans="1:11" s="5" customFormat="1" ht="25.5">
      <c r="A70" s="14">
        <f t="shared" si="2"/>
        <v>66</v>
      </c>
      <c r="B70" s="14" t="s">
        <v>1557</v>
      </c>
      <c r="C70" s="9" t="s">
        <v>2870</v>
      </c>
      <c r="D70" s="8" t="s">
        <v>2266</v>
      </c>
      <c r="E70" s="37">
        <v>167691</v>
      </c>
      <c r="F70" s="7" t="s">
        <v>1619</v>
      </c>
      <c r="G70" s="7">
        <v>25</v>
      </c>
      <c r="H70" s="7" t="s">
        <v>1548</v>
      </c>
      <c r="I70" s="14" t="s">
        <v>2267</v>
      </c>
      <c r="J70" s="15" t="s">
        <v>2265</v>
      </c>
      <c r="K70" s="7" t="s">
        <v>2500</v>
      </c>
    </row>
    <row r="71" spans="1:11" s="5" customFormat="1" ht="38.25">
      <c r="A71" s="14">
        <f t="shared" si="2"/>
        <v>67</v>
      </c>
      <c r="B71" s="14" t="s">
        <v>1558</v>
      </c>
      <c r="C71" s="9" t="s">
        <v>2272</v>
      </c>
      <c r="D71" s="8" t="s">
        <v>2269</v>
      </c>
      <c r="E71" s="37">
        <v>207300</v>
      </c>
      <c r="F71" s="7" t="s">
        <v>1341</v>
      </c>
      <c r="G71" s="7">
        <v>25</v>
      </c>
      <c r="H71" s="7" t="s">
        <v>2270</v>
      </c>
      <c r="I71" s="3" t="s">
        <v>2271</v>
      </c>
      <c r="J71" s="15" t="s">
        <v>2268</v>
      </c>
      <c r="K71" s="7" t="s">
        <v>2571</v>
      </c>
    </row>
    <row r="72" spans="1:11" s="5" customFormat="1" ht="25.5">
      <c r="A72" s="14">
        <f t="shared" si="2"/>
        <v>68</v>
      </c>
      <c r="B72" s="14" t="s">
        <v>1559</v>
      </c>
      <c r="C72" s="9" t="s">
        <v>2274</v>
      </c>
      <c r="D72" s="8" t="s">
        <v>2277</v>
      </c>
      <c r="E72" s="37">
        <v>306228</v>
      </c>
      <c r="F72" s="7" t="s">
        <v>3357</v>
      </c>
      <c r="G72" s="7">
        <v>25</v>
      </c>
      <c r="H72" s="7" t="s">
        <v>2270</v>
      </c>
      <c r="I72" s="3" t="s">
        <v>2273</v>
      </c>
      <c r="J72" s="8" t="s">
        <v>2275</v>
      </c>
      <c r="K72" s="10" t="s">
        <v>2571</v>
      </c>
    </row>
    <row r="73" spans="1:11" s="5" customFormat="1" ht="25.5">
      <c r="A73" s="14">
        <f t="shared" si="2"/>
        <v>69</v>
      </c>
      <c r="B73" s="14" t="s">
        <v>1560</v>
      </c>
      <c r="C73" s="9" t="s">
        <v>2280</v>
      </c>
      <c r="D73" s="8" t="s">
        <v>2276</v>
      </c>
      <c r="E73" s="37">
        <v>85300</v>
      </c>
      <c r="F73" s="7" t="s">
        <v>3357</v>
      </c>
      <c r="G73" s="7">
        <v>25</v>
      </c>
      <c r="H73" s="10" t="s">
        <v>2278</v>
      </c>
      <c r="I73" s="3" t="s">
        <v>2279</v>
      </c>
      <c r="J73" s="8" t="s">
        <v>2281</v>
      </c>
      <c r="K73" s="10" t="s">
        <v>2481</v>
      </c>
    </row>
    <row r="74" spans="1:11" s="5" customFormat="1" ht="25.5">
      <c r="A74" s="14">
        <f t="shared" si="2"/>
        <v>70</v>
      </c>
      <c r="B74" s="14" t="s">
        <v>1561</v>
      </c>
      <c r="C74" s="9" t="s">
        <v>2285</v>
      </c>
      <c r="D74" s="8" t="s">
        <v>2283</v>
      </c>
      <c r="E74" s="37">
        <v>712340</v>
      </c>
      <c r="F74" s="7" t="s">
        <v>1774</v>
      </c>
      <c r="G74" s="7">
        <v>25</v>
      </c>
      <c r="H74" s="7" t="s">
        <v>2284</v>
      </c>
      <c r="I74" s="7" t="s">
        <v>2284</v>
      </c>
      <c r="J74" s="15" t="s">
        <v>2282</v>
      </c>
      <c r="K74" s="7" t="s">
        <v>1185</v>
      </c>
    </row>
    <row r="75" spans="1:11" s="5" customFormat="1" ht="25.5">
      <c r="A75" s="14">
        <f t="shared" si="2"/>
        <v>71</v>
      </c>
      <c r="B75" s="14" t="s">
        <v>1562</v>
      </c>
      <c r="C75" s="9" t="s">
        <v>2288</v>
      </c>
      <c r="D75" s="8" t="s">
        <v>2287</v>
      </c>
      <c r="E75" s="37">
        <v>1280000</v>
      </c>
      <c r="F75" s="7" t="s">
        <v>1618</v>
      </c>
      <c r="G75" s="7">
        <v>35</v>
      </c>
      <c r="H75" s="7" t="s">
        <v>2284</v>
      </c>
      <c r="I75" s="3" t="s">
        <v>2932</v>
      </c>
      <c r="J75" s="15" t="s">
        <v>2286</v>
      </c>
      <c r="K75" s="7" t="s">
        <v>1185</v>
      </c>
    </row>
    <row r="76" spans="1:11" s="5" customFormat="1" ht="25.5">
      <c r="A76" s="14">
        <f t="shared" si="2"/>
        <v>72</v>
      </c>
      <c r="B76" s="14" t="s">
        <v>1563</v>
      </c>
      <c r="C76" s="9" t="s">
        <v>1019</v>
      </c>
      <c r="D76" s="8" t="s">
        <v>1017</v>
      </c>
      <c r="E76" s="37">
        <v>248217</v>
      </c>
      <c r="F76" s="7" t="s">
        <v>1016</v>
      </c>
      <c r="G76" s="7">
        <v>25</v>
      </c>
      <c r="H76" s="7" t="s">
        <v>2284</v>
      </c>
      <c r="I76" s="3" t="s">
        <v>1018</v>
      </c>
      <c r="J76" s="8" t="s">
        <v>1021</v>
      </c>
      <c r="K76" s="10" t="s">
        <v>1185</v>
      </c>
    </row>
    <row r="77" spans="1:11" s="5" customFormat="1" ht="25.5">
      <c r="A77" s="14">
        <f aca="true" t="shared" si="3" ref="A77:A108">A76+1</f>
        <v>73</v>
      </c>
      <c r="B77" s="14" t="s">
        <v>1564</v>
      </c>
      <c r="C77" s="9" t="s">
        <v>1040</v>
      </c>
      <c r="D77" s="8" t="s">
        <v>1023</v>
      </c>
      <c r="E77" s="37">
        <v>110000</v>
      </c>
      <c r="F77" s="7" t="s">
        <v>1022</v>
      </c>
      <c r="G77" s="7">
        <v>25</v>
      </c>
      <c r="H77" s="7" t="s">
        <v>2284</v>
      </c>
      <c r="I77" s="3" t="s">
        <v>1533</v>
      </c>
      <c r="J77" s="15" t="s">
        <v>1020</v>
      </c>
      <c r="K77" s="7" t="s">
        <v>1185</v>
      </c>
    </row>
    <row r="78" spans="1:11" s="5" customFormat="1" ht="38.25">
      <c r="A78" s="14">
        <f t="shared" si="3"/>
        <v>74</v>
      </c>
      <c r="B78" s="14" t="s">
        <v>1565</v>
      </c>
      <c r="C78" s="9" t="s">
        <v>1028</v>
      </c>
      <c r="D78" s="8" t="s">
        <v>1025</v>
      </c>
      <c r="E78" s="37">
        <v>60059</v>
      </c>
      <c r="F78" s="7" t="s">
        <v>3357</v>
      </c>
      <c r="G78" s="7">
        <v>35</v>
      </c>
      <c r="H78" s="10" t="s">
        <v>1027</v>
      </c>
      <c r="I78" s="3" t="s">
        <v>1026</v>
      </c>
      <c r="J78" s="15" t="s">
        <v>1024</v>
      </c>
      <c r="K78" s="7" t="s">
        <v>2499</v>
      </c>
    </row>
    <row r="79" spans="1:11" s="5" customFormat="1" ht="25.5">
      <c r="A79" s="14">
        <f t="shared" si="3"/>
        <v>75</v>
      </c>
      <c r="B79" s="14" t="s">
        <v>1566</v>
      </c>
      <c r="C79" s="9" t="s">
        <v>1032</v>
      </c>
      <c r="D79" s="8" t="s">
        <v>1030</v>
      </c>
      <c r="E79" s="37">
        <v>653956</v>
      </c>
      <c r="F79" s="7" t="s">
        <v>3357</v>
      </c>
      <c r="G79" s="7">
        <v>35</v>
      </c>
      <c r="H79" s="7" t="s">
        <v>1880</v>
      </c>
      <c r="I79" s="3" t="s">
        <v>1031</v>
      </c>
      <c r="J79" s="15" t="s">
        <v>1029</v>
      </c>
      <c r="K79" s="7" t="s">
        <v>571</v>
      </c>
    </row>
    <row r="80" spans="1:11" s="5" customFormat="1" ht="25.5">
      <c r="A80" s="14">
        <f t="shared" si="3"/>
        <v>76</v>
      </c>
      <c r="B80" s="14" t="s">
        <v>1567</v>
      </c>
      <c r="C80" s="9" t="s">
        <v>1037</v>
      </c>
      <c r="D80" s="8" t="s">
        <v>1036</v>
      </c>
      <c r="E80" s="37">
        <v>234936</v>
      </c>
      <c r="F80" s="7" t="s">
        <v>3357</v>
      </c>
      <c r="G80" s="7">
        <v>25</v>
      </c>
      <c r="H80" s="7" t="s">
        <v>1034</v>
      </c>
      <c r="I80" s="3" t="s">
        <v>1035</v>
      </c>
      <c r="J80" s="15" t="s">
        <v>1033</v>
      </c>
      <c r="K80" s="7" t="s">
        <v>2835</v>
      </c>
    </row>
    <row r="81" spans="1:11" s="5" customFormat="1" ht="25.5">
      <c r="A81" s="14">
        <f t="shared" si="3"/>
        <v>77</v>
      </c>
      <c r="B81" s="14" t="s">
        <v>1568</v>
      </c>
      <c r="C81" s="9" t="s">
        <v>1040</v>
      </c>
      <c r="D81" s="8" t="s">
        <v>1039</v>
      </c>
      <c r="E81" s="37">
        <v>232000</v>
      </c>
      <c r="F81" s="7" t="s">
        <v>3357</v>
      </c>
      <c r="G81" s="7">
        <v>25</v>
      </c>
      <c r="H81" s="7" t="s">
        <v>1034</v>
      </c>
      <c r="I81" s="3" t="s">
        <v>1533</v>
      </c>
      <c r="J81" s="15" t="s">
        <v>1038</v>
      </c>
      <c r="K81" s="7" t="s">
        <v>2571</v>
      </c>
    </row>
    <row r="82" spans="1:11" s="5" customFormat="1" ht="25.5">
      <c r="A82" s="14">
        <f t="shared" si="3"/>
        <v>78</v>
      </c>
      <c r="B82" s="14" t="s">
        <v>2429</v>
      </c>
      <c r="C82" s="9" t="s">
        <v>1037</v>
      </c>
      <c r="D82" s="8" t="s">
        <v>1042</v>
      </c>
      <c r="E82" s="37">
        <v>43702</v>
      </c>
      <c r="F82" s="7" t="s">
        <v>1043</v>
      </c>
      <c r="G82" s="7">
        <v>25</v>
      </c>
      <c r="H82" s="7" t="s">
        <v>2349</v>
      </c>
      <c r="I82" s="3" t="s">
        <v>1035</v>
      </c>
      <c r="J82" s="15" t="s">
        <v>1041</v>
      </c>
      <c r="K82" s="7" t="s">
        <v>328</v>
      </c>
    </row>
    <row r="83" spans="1:11" s="5" customFormat="1" ht="25.5">
      <c r="A83" s="14">
        <f t="shared" si="3"/>
        <v>79</v>
      </c>
      <c r="B83" s="14" t="s">
        <v>2430</v>
      </c>
      <c r="C83" s="9" t="s">
        <v>1037</v>
      </c>
      <c r="D83" s="8" t="s">
        <v>1045</v>
      </c>
      <c r="E83" s="37">
        <v>211727</v>
      </c>
      <c r="F83" s="7" t="s">
        <v>1418</v>
      </c>
      <c r="G83" s="7">
        <v>25</v>
      </c>
      <c r="H83" s="7" t="s">
        <v>2349</v>
      </c>
      <c r="I83" s="3" t="s">
        <v>1035</v>
      </c>
      <c r="J83" s="8" t="s">
        <v>1044</v>
      </c>
      <c r="K83" s="10" t="s">
        <v>328</v>
      </c>
    </row>
    <row r="84" spans="1:11" s="5" customFormat="1" ht="38.25">
      <c r="A84" s="14">
        <f t="shared" si="3"/>
        <v>80</v>
      </c>
      <c r="B84" s="14" t="s">
        <v>2431</v>
      </c>
      <c r="C84" s="9" t="s">
        <v>1050</v>
      </c>
      <c r="D84" s="8" t="s">
        <v>1048</v>
      </c>
      <c r="E84" s="37">
        <v>133087</v>
      </c>
      <c r="F84" s="7" t="s">
        <v>1047</v>
      </c>
      <c r="G84" s="7">
        <v>35</v>
      </c>
      <c r="H84" s="7" t="s">
        <v>1049</v>
      </c>
      <c r="I84" s="3" t="s">
        <v>2596</v>
      </c>
      <c r="J84" s="15" t="s">
        <v>1046</v>
      </c>
      <c r="K84" s="7" t="s">
        <v>1181</v>
      </c>
    </row>
    <row r="85" spans="1:11" s="5" customFormat="1" ht="25.5">
      <c r="A85" s="14">
        <f t="shared" si="3"/>
        <v>81</v>
      </c>
      <c r="B85" s="14" t="s">
        <v>2432</v>
      </c>
      <c r="C85" s="9" t="s">
        <v>1056</v>
      </c>
      <c r="D85" s="8" t="s">
        <v>1052</v>
      </c>
      <c r="E85" s="37">
        <v>241428</v>
      </c>
      <c r="F85" s="7" t="s">
        <v>1053</v>
      </c>
      <c r="G85" s="7">
        <v>35</v>
      </c>
      <c r="H85" s="7" t="s">
        <v>1054</v>
      </c>
      <c r="I85" s="3" t="s">
        <v>1055</v>
      </c>
      <c r="J85" s="15" t="s">
        <v>1051</v>
      </c>
      <c r="K85" s="7" t="s">
        <v>1180</v>
      </c>
    </row>
    <row r="86" spans="1:11" s="5" customFormat="1" ht="25.5">
      <c r="A86" s="14">
        <f t="shared" si="3"/>
        <v>82</v>
      </c>
      <c r="B86" s="14" t="s">
        <v>2433</v>
      </c>
      <c r="C86" s="9" t="s">
        <v>1060</v>
      </c>
      <c r="D86" s="8" t="s">
        <v>1058</v>
      </c>
      <c r="E86" s="37">
        <v>381909</v>
      </c>
      <c r="F86" s="7" t="s">
        <v>3357</v>
      </c>
      <c r="G86" s="7">
        <v>35</v>
      </c>
      <c r="H86" s="7" t="s">
        <v>1059</v>
      </c>
      <c r="I86" s="3" t="s">
        <v>1533</v>
      </c>
      <c r="J86" s="15" t="s">
        <v>1057</v>
      </c>
      <c r="K86" s="7" t="s">
        <v>1181</v>
      </c>
    </row>
    <row r="87" spans="1:11" s="5" customFormat="1" ht="25.5">
      <c r="A87" s="14">
        <f t="shared" si="3"/>
        <v>83</v>
      </c>
      <c r="B87" s="14" t="s">
        <v>2434</v>
      </c>
      <c r="C87" s="9" t="s">
        <v>1056</v>
      </c>
      <c r="D87" s="8" t="s">
        <v>2066</v>
      </c>
      <c r="E87" s="37">
        <v>186345</v>
      </c>
      <c r="F87" s="7" t="s">
        <v>1053</v>
      </c>
      <c r="G87" s="7">
        <v>35</v>
      </c>
      <c r="H87" s="7" t="s">
        <v>2067</v>
      </c>
      <c r="I87" s="3" t="s">
        <v>1055</v>
      </c>
      <c r="J87" s="15" t="s">
        <v>1061</v>
      </c>
      <c r="K87" s="7" t="s">
        <v>1839</v>
      </c>
    </row>
    <row r="88" spans="1:11" s="5" customFormat="1" ht="38.25">
      <c r="A88" s="14">
        <f t="shared" si="3"/>
        <v>84</v>
      </c>
      <c r="B88" s="14" t="s">
        <v>2435</v>
      </c>
      <c r="C88" s="9" t="s">
        <v>1050</v>
      </c>
      <c r="D88" s="8" t="s">
        <v>2069</v>
      </c>
      <c r="E88" s="37">
        <v>505637</v>
      </c>
      <c r="F88" s="7" t="s">
        <v>1047</v>
      </c>
      <c r="G88" s="7">
        <v>35</v>
      </c>
      <c r="H88" s="7" t="s">
        <v>2070</v>
      </c>
      <c r="I88" s="3" t="s">
        <v>2596</v>
      </c>
      <c r="J88" s="15" t="s">
        <v>2068</v>
      </c>
      <c r="K88" s="7" t="s">
        <v>1180</v>
      </c>
    </row>
    <row r="89" spans="1:11" s="5" customFormat="1" ht="25.5" customHeight="1">
      <c r="A89" s="14">
        <f t="shared" si="3"/>
        <v>85</v>
      </c>
      <c r="B89" s="14" t="s">
        <v>2436</v>
      </c>
      <c r="C89" s="9" t="s">
        <v>1060</v>
      </c>
      <c r="D89" s="8" t="s">
        <v>2072</v>
      </c>
      <c r="E89" s="37">
        <v>197483</v>
      </c>
      <c r="F89" s="7" t="s">
        <v>3357</v>
      </c>
      <c r="G89" s="7">
        <v>35</v>
      </c>
      <c r="H89" s="7" t="s">
        <v>2073</v>
      </c>
      <c r="I89" s="3" t="s">
        <v>1533</v>
      </c>
      <c r="J89" s="15" t="s">
        <v>2071</v>
      </c>
      <c r="K89" s="7" t="s">
        <v>1825</v>
      </c>
    </row>
    <row r="90" spans="1:11" s="5" customFormat="1" ht="25.5">
      <c r="A90" s="14">
        <f t="shared" si="3"/>
        <v>86</v>
      </c>
      <c r="B90" s="14" t="s">
        <v>2437</v>
      </c>
      <c r="C90" s="9" t="s">
        <v>3327</v>
      </c>
      <c r="D90" s="8" t="s">
        <v>2075</v>
      </c>
      <c r="E90" s="37">
        <v>121596</v>
      </c>
      <c r="F90" s="7" t="s">
        <v>2074</v>
      </c>
      <c r="G90" s="7">
        <v>35</v>
      </c>
      <c r="H90" s="7" t="s">
        <v>2076</v>
      </c>
      <c r="I90" s="7" t="s">
        <v>2076</v>
      </c>
      <c r="J90" s="8" t="s">
        <v>3329</v>
      </c>
      <c r="K90" s="10" t="s">
        <v>1186</v>
      </c>
    </row>
    <row r="91" spans="1:11" s="5" customFormat="1" ht="25.5">
      <c r="A91" s="14">
        <f t="shared" si="3"/>
        <v>87</v>
      </c>
      <c r="B91" s="14" t="s">
        <v>2438</v>
      </c>
      <c r="C91" s="9" t="s">
        <v>2288</v>
      </c>
      <c r="D91" s="8" t="s">
        <v>3330</v>
      </c>
      <c r="E91" s="37">
        <v>261000</v>
      </c>
      <c r="F91" s="7" t="s">
        <v>1618</v>
      </c>
      <c r="G91" s="7">
        <v>30</v>
      </c>
      <c r="H91" s="7" t="s">
        <v>3331</v>
      </c>
      <c r="I91" s="3" t="s">
        <v>2932</v>
      </c>
      <c r="J91" s="15" t="s">
        <v>3328</v>
      </c>
      <c r="K91" s="7" t="s">
        <v>1180</v>
      </c>
    </row>
    <row r="92" spans="1:11" s="5" customFormat="1" ht="38.25">
      <c r="A92" s="14">
        <f t="shared" si="3"/>
        <v>88</v>
      </c>
      <c r="B92" s="14" t="s">
        <v>2439</v>
      </c>
      <c r="C92" s="9" t="s">
        <v>3334</v>
      </c>
      <c r="D92" s="8" t="s">
        <v>1776</v>
      </c>
      <c r="E92" s="37">
        <v>130777</v>
      </c>
      <c r="F92" s="7" t="s">
        <v>623</v>
      </c>
      <c r="G92" s="7">
        <v>30</v>
      </c>
      <c r="H92" s="7" t="s">
        <v>3333</v>
      </c>
      <c r="I92" s="7" t="s">
        <v>3333</v>
      </c>
      <c r="J92" s="15" t="s">
        <v>3332</v>
      </c>
      <c r="K92" s="7" t="s">
        <v>314</v>
      </c>
    </row>
    <row r="93" spans="1:11" s="5" customFormat="1" ht="25.5" customHeight="1">
      <c r="A93" s="14">
        <f t="shared" si="3"/>
        <v>89</v>
      </c>
      <c r="B93" s="14" t="s">
        <v>2440</v>
      </c>
      <c r="C93" s="9" t="s">
        <v>1779</v>
      </c>
      <c r="D93" s="8" t="s">
        <v>1777</v>
      </c>
      <c r="E93" s="37">
        <v>160500</v>
      </c>
      <c r="F93" s="7" t="s">
        <v>1418</v>
      </c>
      <c r="G93" s="7">
        <v>25</v>
      </c>
      <c r="H93" s="7" t="s">
        <v>1778</v>
      </c>
      <c r="I93" s="7" t="s">
        <v>1778</v>
      </c>
      <c r="J93" s="8" t="s">
        <v>1780</v>
      </c>
      <c r="K93" s="10" t="s">
        <v>1839</v>
      </c>
    </row>
    <row r="94" spans="1:11" s="5" customFormat="1" ht="25.5">
      <c r="A94" s="14">
        <f t="shared" si="3"/>
        <v>90</v>
      </c>
      <c r="B94" s="14" t="s">
        <v>2442</v>
      </c>
      <c r="C94" s="9" t="s">
        <v>2280</v>
      </c>
      <c r="D94" s="8" t="s">
        <v>1785</v>
      </c>
      <c r="E94" s="37">
        <v>60800</v>
      </c>
      <c r="F94" s="7" t="s">
        <v>1786</v>
      </c>
      <c r="G94" s="7">
        <v>25</v>
      </c>
      <c r="H94" s="7" t="s">
        <v>1787</v>
      </c>
      <c r="I94" s="7" t="s">
        <v>1787</v>
      </c>
      <c r="J94" s="8" t="s">
        <v>1788</v>
      </c>
      <c r="K94" s="10" t="s">
        <v>2482</v>
      </c>
    </row>
    <row r="95" spans="1:11" s="5" customFormat="1" ht="25.5">
      <c r="A95" s="14">
        <f t="shared" si="3"/>
        <v>91</v>
      </c>
      <c r="B95" s="14" t="s">
        <v>2444</v>
      </c>
      <c r="C95" s="9" t="s">
        <v>1795</v>
      </c>
      <c r="D95" s="8" t="s">
        <v>1793</v>
      </c>
      <c r="E95" s="37">
        <v>525747</v>
      </c>
      <c r="F95" s="7" t="s">
        <v>623</v>
      </c>
      <c r="G95" s="7">
        <v>35</v>
      </c>
      <c r="H95" s="7" t="s">
        <v>1794</v>
      </c>
      <c r="I95" s="7" t="s">
        <v>1794</v>
      </c>
      <c r="J95" s="15" t="s">
        <v>1792</v>
      </c>
      <c r="K95" s="7" t="s">
        <v>1181</v>
      </c>
    </row>
    <row r="96" spans="1:11" s="5" customFormat="1" ht="25.5">
      <c r="A96" s="14">
        <f t="shared" si="3"/>
        <v>92</v>
      </c>
      <c r="B96" s="14" t="s">
        <v>2445</v>
      </c>
      <c r="C96" s="9" t="s">
        <v>1798</v>
      </c>
      <c r="D96" s="8" t="s">
        <v>1797</v>
      </c>
      <c r="E96" s="37">
        <v>136788</v>
      </c>
      <c r="F96" s="7" t="s">
        <v>3357</v>
      </c>
      <c r="G96" s="7">
        <v>25</v>
      </c>
      <c r="H96" s="7" t="s">
        <v>1778</v>
      </c>
      <c r="I96" s="7" t="s">
        <v>1778</v>
      </c>
      <c r="J96" s="15" t="s">
        <v>1796</v>
      </c>
      <c r="K96" s="7" t="s">
        <v>1839</v>
      </c>
    </row>
    <row r="97" spans="1:11" s="5" customFormat="1" ht="25.5">
      <c r="A97" s="14">
        <f t="shared" si="3"/>
        <v>93</v>
      </c>
      <c r="B97" s="14" t="s">
        <v>2446</v>
      </c>
      <c r="C97" s="9" t="s">
        <v>1652</v>
      </c>
      <c r="D97" s="8" t="s">
        <v>1649</v>
      </c>
      <c r="E97" s="37">
        <v>160399</v>
      </c>
      <c r="F97" s="7" t="s">
        <v>623</v>
      </c>
      <c r="G97" s="7">
        <v>25</v>
      </c>
      <c r="H97" s="7" t="s">
        <v>1651</v>
      </c>
      <c r="I97" s="7" t="s">
        <v>1651</v>
      </c>
      <c r="J97" s="15" t="s">
        <v>1650</v>
      </c>
      <c r="K97" s="7" t="s">
        <v>1162</v>
      </c>
    </row>
    <row r="98" spans="1:11" s="5" customFormat="1" ht="25.5">
      <c r="A98" s="14">
        <f t="shared" si="3"/>
        <v>94</v>
      </c>
      <c r="B98" s="14" t="s">
        <v>2447</v>
      </c>
      <c r="C98" s="9" t="s">
        <v>1655</v>
      </c>
      <c r="D98" s="8" t="s">
        <v>1653</v>
      </c>
      <c r="E98" s="37">
        <f>4.102*1000^2</f>
        <v>4102000.0000000005</v>
      </c>
      <c r="F98" s="7" t="s">
        <v>623</v>
      </c>
      <c r="G98" s="7">
        <v>35</v>
      </c>
      <c r="H98" s="7" t="s">
        <v>1654</v>
      </c>
      <c r="I98" s="7" t="s">
        <v>1654</v>
      </c>
      <c r="J98" s="8" t="s">
        <v>1656</v>
      </c>
      <c r="K98" s="10" t="s">
        <v>2853</v>
      </c>
    </row>
    <row r="99" spans="1:11" s="5" customFormat="1" ht="25.5">
      <c r="A99" s="14">
        <f t="shared" si="3"/>
        <v>95</v>
      </c>
      <c r="B99" s="14" t="s">
        <v>2448</v>
      </c>
      <c r="C99" s="9" t="s">
        <v>1658</v>
      </c>
      <c r="D99" s="8" t="s">
        <v>1657</v>
      </c>
      <c r="E99" s="37">
        <v>207865</v>
      </c>
      <c r="F99" s="7" t="s">
        <v>1774</v>
      </c>
      <c r="G99" s="7">
        <v>30</v>
      </c>
      <c r="H99" s="7" t="s">
        <v>1651</v>
      </c>
      <c r="I99" s="7" t="s">
        <v>1651</v>
      </c>
      <c r="J99" s="8" t="s">
        <v>1660</v>
      </c>
      <c r="K99" s="10" t="s">
        <v>1162</v>
      </c>
    </row>
    <row r="100" spans="1:11" s="5" customFormat="1" ht="38.25">
      <c r="A100" s="14">
        <f t="shared" si="3"/>
        <v>96</v>
      </c>
      <c r="B100" s="14" t="s">
        <v>2449</v>
      </c>
      <c r="C100" s="9" t="s">
        <v>1804</v>
      </c>
      <c r="D100" s="8" t="s">
        <v>1661</v>
      </c>
      <c r="E100" s="37">
        <v>64560</v>
      </c>
      <c r="F100" s="7" t="s">
        <v>1341</v>
      </c>
      <c r="G100" s="7">
        <v>30</v>
      </c>
      <c r="H100" s="10" t="s">
        <v>1662</v>
      </c>
      <c r="I100" s="10" t="s">
        <v>1662</v>
      </c>
      <c r="J100" s="15" t="s">
        <v>1659</v>
      </c>
      <c r="K100" s="7" t="s">
        <v>2878</v>
      </c>
    </row>
    <row r="101" spans="1:11" s="5" customFormat="1" ht="25.5">
      <c r="A101" s="14">
        <f t="shared" si="3"/>
        <v>97</v>
      </c>
      <c r="B101" s="14" t="s">
        <v>2450</v>
      </c>
      <c r="C101" s="9" t="s">
        <v>1092</v>
      </c>
      <c r="D101" s="8" t="s">
        <v>1083</v>
      </c>
      <c r="E101" s="37">
        <f>0.798*1000^2</f>
        <v>798000</v>
      </c>
      <c r="F101" s="7" t="s">
        <v>1806</v>
      </c>
      <c r="G101" s="7">
        <v>25</v>
      </c>
      <c r="H101" s="7" t="s">
        <v>3201</v>
      </c>
      <c r="I101" s="3" t="s">
        <v>1084</v>
      </c>
      <c r="J101" s="15" t="s">
        <v>1805</v>
      </c>
      <c r="K101" s="7" t="s">
        <v>2860</v>
      </c>
    </row>
    <row r="102" spans="1:11" s="5" customFormat="1" ht="25.5">
      <c r="A102" s="14">
        <f t="shared" si="3"/>
        <v>98</v>
      </c>
      <c r="B102" s="14" t="s">
        <v>2451</v>
      </c>
      <c r="C102" s="9" t="s">
        <v>1088</v>
      </c>
      <c r="D102" s="8" t="s">
        <v>1086</v>
      </c>
      <c r="E102" s="37">
        <v>78757</v>
      </c>
      <c r="F102" s="7" t="s">
        <v>623</v>
      </c>
      <c r="G102" s="7">
        <v>10</v>
      </c>
      <c r="H102" s="7" t="s">
        <v>1087</v>
      </c>
      <c r="I102" s="7" t="s">
        <v>1087</v>
      </c>
      <c r="J102" s="15" t="s">
        <v>1085</v>
      </c>
      <c r="K102" s="7" t="s">
        <v>1161</v>
      </c>
    </row>
    <row r="103" spans="1:11" s="5" customFormat="1" ht="25.5">
      <c r="A103" s="14">
        <f t="shared" si="3"/>
        <v>99</v>
      </c>
      <c r="B103" s="14" t="s">
        <v>2452</v>
      </c>
      <c r="C103" s="9" t="s">
        <v>656</v>
      </c>
      <c r="D103" s="8" t="s">
        <v>1090</v>
      </c>
      <c r="E103" s="37">
        <f>0.108*1000^2</f>
        <v>108000</v>
      </c>
      <c r="F103" s="7" t="s">
        <v>3357</v>
      </c>
      <c r="G103" s="7">
        <v>35</v>
      </c>
      <c r="H103" s="7" t="s">
        <v>1091</v>
      </c>
      <c r="I103" s="3" t="s">
        <v>1533</v>
      </c>
      <c r="J103" s="15" t="s">
        <v>1089</v>
      </c>
      <c r="K103" s="7" t="s">
        <v>2859</v>
      </c>
    </row>
    <row r="104" spans="1:11" s="5" customFormat="1" ht="25.5">
      <c r="A104" s="14">
        <f t="shared" si="3"/>
        <v>100</v>
      </c>
      <c r="B104" s="14" t="s">
        <v>2453</v>
      </c>
      <c r="C104" s="9" t="s">
        <v>2362</v>
      </c>
      <c r="D104" s="8" t="s">
        <v>2360</v>
      </c>
      <c r="E104" s="37">
        <v>635537.87</v>
      </c>
      <c r="F104" s="7" t="s">
        <v>1774</v>
      </c>
      <c r="G104" s="7">
        <v>35</v>
      </c>
      <c r="H104" s="7" t="s">
        <v>2361</v>
      </c>
      <c r="I104" s="7" t="s">
        <v>2361</v>
      </c>
      <c r="J104" s="15" t="s">
        <v>1093</v>
      </c>
      <c r="K104" s="7" t="s">
        <v>2854</v>
      </c>
    </row>
    <row r="105" spans="1:11" s="5" customFormat="1" ht="25.5">
      <c r="A105" s="14">
        <f t="shared" si="3"/>
        <v>101</v>
      </c>
      <c r="B105" s="14" t="s">
        <v>2454</v>
      </c>
      <c r="C105" s="9" t="s">
        <v>2365</v>
      </c>
      <c r="D105" s="8" t="s">
        <v>2364</v>
      </c>
      <c r="E105" s="37">
        <v>378596</v>
      </c>
      <c r="F105" s="7" t="s">
        <v>623</v>
      </c>
      <c r="G105" s="7">
        <v>35</v>
      </c>
      <c r="H105" s="7" t="s">
        <v>2304</v>
      </c>
      <c r="I105" s="7" t="s">
        <v>2304</v>
      </c>
      <c r="J105" s="15" t="s">
        <v>2363</v>
      </c>
      <c r="K105" s="7" t="s">
        <v>2836</v>
      </c>
    </row>
    <row r="106" spans="1:11" s="5" customFormat="1" ht="25.5">
      <c r="A106" s="14">
        <f t="shared" si="3"/>
        <v>102</v>
      </c>
      <c r="B106" s="14" t="s">
        <v>2455</v>
      </c>
      <c r="C106" s="9" t="s">
        <v>2288</v>
      </c>
      <c r="D106" s="8" t="s">
        <v>2367</v>
      </c>
      <c r="E106" s="37">
        <v>290354</v>
      </c>
      <c r="F106" s="7" t="s">
        <v>1774</v>
      </c>
      <c r="G106" s="7">
        <v>35</v>
      </c>
      <c r="H106" s="7" t="s">
        <v>2368</v>
      </c>
      <c r="I106" s="7" t="s">
        <v>2368</v>
      </c>
      <c r="J106" s="15" t="s">
        <v>2366</v>
      </c>
      <c r="K106" s="7" t="s">
        <v>1187</v>
      </c>
    </row>
    <row r="107" spans="1:11" s="5" customFormat="1" ht="25.5">
      <c r="A107" s="14">
        <f t="shared" si="3"/>
        <v>103</v>
      </c>
      <c r="B107" s="14" t="s">
        <v>2456</v>
      </c>
      <c r="C107" s="9" t="s">
        <v>1275</v>
      </c>
      <c r="D107" s="8" t="s">
        <v>2369</v>
      </c>
      <c r="E107" s="37">
        <v>21391</v>
      </c>
      <c r="F107" s="7" t="s">
        <v>2370</v>
      </c>
      <c r="G107" s="7">
        <v>10</v>
      </c>
      <c r="H107" s="7" t="s">
        <v>2371</v>
      </c>
      <c r="I107" s="7" t="s">
        <v>2371</v>
      </c>
      <c r="J107" s="8" t="s">
        <v>2372</v>
      </c>
      <c r="K107" s="10" t="s">
        <v>2506</v>
      </c>
    </row>
    <row r="108" spans="1:11" s="5" customFormat="1" ht="25.5">
      <c r="A108" s="14">
        <f t="shared" si="3"/>
        <v>104</v>
      </c>
      <c r="B108" s="14" t="s">
        <v>2457</v>
      </c>
      <c r="C108" s="9" t="s">
        <v>2376</v>
      </c>
      <c r="D108" s="8" t="s">
        <v>2373</v>
      </c>
      <c r="E108" s="37">
        <v>482153</v>
      </c>
      <c r="F108" s="7" t="s">
        <v>2370</v>
      </c>
      <c r="G108" s="7">
        <v>35</v>
      </c>
      <c r="H108" s="7" t="s">
        <v>2374</v>
      </c>
      <c r="I108" s="3" t="s">
        <v>2375</v>
      </c>
      <c r="J108" s="8" t="s">
        <v>2377</v>
      </c>
      <c r="K108" s="10" t="s">
        <v>3249</v>
      </c>
    </row>
    <row r="109" spans="1:11" s="5" customFormat="1" ht="25.5">
      <c r="A109" s="14">
        <f aca="true" t="shared" si="4" ref="A109:A140">A108+1</f>
        <v>105</v>
      </c>
      <c r="B109" s="14" t="s">
        <v>2378</v>
      </c>
      <c r="C109" s="9" t="s">
        <v>97</v>
      </c>
      <c r="D109" s="8" t="s">
        <v>94</v>
      </c>
      <c r="E109" s="37">
        <v>81322</v>
      </c>
      <c r="F109" s="7" t="s">
        <v>95</v>
      </c>
      <c r="G109" s="7">
        <v>10</v>
      </c>
      <c r="H109" s="7" t="s">
        <v>96</v>
      </c>
      <c r="I109" s="7" t="s">
        <v>96</v>
      </c>
      <c r="J109" s="8" t="s">
        <v>98</v>
      </c>
      <c r="K109" s="10" t="s">
        <v>2868</v>
      </c>
    </row>
    <row r="110" spans="1:11" s="5" customFormat="1" ht="25.5">
      <c r="A110" s="14">
        <f t="shared" si="4"/>
        <v>106</v>
      </c>
      <c r="B110" s="14" t="s">
        <v>2379</v>
      </c>
      <c r="C110" s="9" t="s">
        <v>1936</v>
      </c>
      <c r="D110" s="8" t="s">
        <v>100</v>
      </c>
      <c r="E110" s="37">
        <v>70597</v>
      </c>
      <c r="F110" s="7" t="s">
        <v>623</v>
      </c>
      <c r="G110" s="7">
        <v>25</v>
      </c>
      <c r="H110" s="7" t="s">
        <v>1651</v>
      </c>
      <c r="I110" s="7" t="s">
        <v>1651</v>
      </c>
      <c r="J110" s="15" t="s">
        <v>99</v>
      </c>
      <c r="K110" s="7" t="s">
        <v>1162</v>
      </c>
    </row>
    <row r="111" spans="1:11" s="5" customFormat="1" ht="25.5">
      <c r="A111" s="14">
        <f t="shared" si="4"/>
        <v>107</v>
      </c>
      <c r="B111" s="14" t="s">
        <v>2380</v>
      </c>
      <c r="C111" s="9" t="s">
        <v>1940</v>
      </c>
      <c r="D111" s="8" t="s">
        <v>1938</v>
      </c>
      <c r="E111" s="37">
        <v>888000</v>
      </c>
      <c r="F111" s="7" t="s">
        <v>623</v>
      </c>
      <c r="G111" s="7">
        <v>35</v>
      </c>
      <c r="H111" s="7" t="s">
        <v>1939</v>
      </c>
      <c r="I111" s="3" t="s">
        <v>2908</v>
      </c>
      <c r="J111" s="15" t="s">
        <v>1937</v>
      </c>
      <c r="K111" s="7" t="s">
        <v>3233</v>
      </c>
    </row>
    <row r="112" spans="1:11" s="5" customFormat="1" ht="25.5">
      <c r="A112" s="14">
        <f t="shared" si="4"/>
        <v>108</v>
      </c>
      <c r="B112" s="14" t="s">
        <v>2381</v>
      </c>
      <c r="C112" s="9" t="s">
        <v>1943</v>
      </c>
      <c r="D112" s="8" t="s">
        <v>1942</v>
      </c>
      <c r="E112" s="37">
        <v>167034</v>
      </c>
      <c r="F112" s="7" t="s">
        <v>649</v>
      </c>
      <c r="G112" s="7">
        <v>25</v>
      </c>
      <c r="H112" s="7" t="s">
        <v>1778</v>
      </c>
      <c r="I112" s="7" t="s">
        <v>1778</v>
      </c>
      <c r="J112" s="15" t="s">
        <v>1941</v>
      </c>
      <c r="K112" s="7" t="s">
        <v>1839</v>
      </c>
    </row>
    <row r="113" spans="1:11" s="5" customFormat="1" ht="25.5">
      <c r="A113" s="14">
        <f t="shared" si="4"/>
        <v>109</v>
      </c>
      <c r="B113" s="14" t="s">
        <v>2382</v>
      </c>
      <c r="C113" s="9" t="s">
        <v>1092</v>
      </c>
      <c r="D113" s="8" t="s">
        <v>1945</v>
      </c>
      <c r="E113" s="37">
        <f>0.89*1000^2</f>
        <v>890000</v>
      </c>
      <c r="F113" s="7" t="s">
        <v>623</v>
      </c>
      <c r="G113" s="7">
        <v>25</v>
      </c>
      <c r="H113" s="7" t="s">
        <v>3201</v>
      </c>
      <c r="I113" s="3" t="s">
        <v>1084</v>
      </c>
      <c r="J113" s="15" t="s">
        <v>1944</v>
      </c>
      <c r="K113" s="7" t="s">
        <v>2860</v>
      </c>
    </row>
    <row r="114" spans="1:11" s="5" customFormat="1" ht="25.5">
      <c r="A114" s="14">
        <f t="shared" si="4"/>
        <v>110</v>
      </c>
      <c r="B114" s="14" t="s">
        <v>33</v>
      </c>
      <c r="C114" s="9" t="s">
        <v>1949</v>
      </c>
      <c r="D114" s="8" t="s">
        <v>1947</v>
      </c>
      <c r="E114" s="37">
        <v>178400</v>
      </c>
      <c r="F114" s="7" t="s">
        <v>1618</v>
      </c>
      <c r="G114" s="7">
        <v>25</v>
      </c>
      <c r="H114" s="7" t="s">
        <v>1948</v>
      </c>
      <c r="I114" s="3" t="s">
        <v>1533</v>
      </c>
      <c r="J114" s="15" t="s">
        <v>1946</v>
      </c>
      <c r="K114" s="7" t="s">
        <v>1188</v>
      </c>
    </row>
    <row r="115" spans="1:11" s="5" customFormat="1" ht="25.5">
      <c r="A115" s="14">
        <f t="shared" si="4"/>
        <v>111</v>
      </c>
      <c r="B115" s="14" t="s">
        <v>34</v>
      </c>
      <c r="C115" s="9" t="s">
        <v>1953</v>
      </c>
      <c r="D115" s="8" t="s">
        <v>1951</v>
      </c>
      <c r="E115" s="37">
        <v>186025</v>
      </c>
      <c r="F115" s="7" t="s">
        <v>3357</v>
      </c>
      <c r="G115" s="7">
        <v>25</v>
      </c>
      <c r="H115" s="7" t="s">
        <v>1952</v>
      </c>
      <c r="I115" s="3" t="s">
        <v>1533</v>
      </c>
      <c r="J115" s="15" t="s">
        <v>1950</v>
      </c>
      <c r="K115" s="7" t="s">
        <v>2772</v>
      </c>
    </row>
    <row r="116" spans="1:11" s="5" customFormat="1" ht="25.5">
      <c r="A116" s="14">
        <f t="shared" si="4"/>
        <v>112</v>
      </c>
      <c r="B116" s="14" t="s">
        <v>35</v>
      </c>
      <c r="C116" s="9" t="s">
        <v>1956</v>
      </c>
      <c r="D116" s="8" t="s">
        <v>1955</v>
      </c>
      <c r="E116" s="37">
        <v>34789</v>
      </c>
      <c r="F116" s="7" t="s">
        <v>623</v>
      </c>
      <c r="G116" s="7">
        <v>10</v>
      </c>
      <c r="H116" s="7" t="s">
        <v>2163</v>
      </c>
      <c r="I116" s="7" t="s">
        <v>2163</v>
      </c>
      <c r="J116" s="15" t="s">
        <v>1954</v>
      </c>
      <c r="K116" s="7" t="s">
        <v>573</v>
      </c>
    </row>
    <row r="117" spans="1:11" s="5" customFormat="1" ht="51">
      <c r="A117" s="14">
        <f t="shared" si="4"/>
        <v>113</v>
      </c>
      <c r="B117" s="14" t="s">
        <v>36</v>
      </c>
      <c r="C117" s="9" t="s">
        <v>1961</v>
      </c>
      <c r="D117" s="8" t="s">
        <v>1960</v>
      </c>
      <c r="E117" s="37">
        <v>249000</v>
      </c>
      <c r="F117" s="7" t="s">
        <v>1958</v>
      </c>
      <c r="G117" s="7">
        <v>25</v>
      </c>
      <c r="H117" s="10" t="s">
        <v>1948</v>
      </c>
      <c r="I117" s="3" t="s">
        <v>1959</v>
      </c>
      <c r="J117" s="15" t="s">
        <v>1957</v>
      </c>
      <c r="K117" s="7" t="s">
        <v>1188</v>
      </c>
    </row>
    <row r="118" spans="1:11" s="5" customFormat="1" ht="51" customHeight="1">
      <c r="A118" s="14">
        <f t="shared" si="4"/>
        <v>114</v>
      </c>
      <c r="B118" s="14" t="s">
        <v>38</v>
      </c>
      <c r="C118" s="9" t="s">
        <v>1967</v>
      </c>
      <c r="D118" s="8" t="s">
        <v>1966</v>
      </c>
      <c r="E118" s="37">
        <v>1840000</v>
      </c>
      <c r="F118" s="7" t="s">
        <v>623</v>
      </c>
      <c r="G118" s="7">
        <v>20</v>
      </c>
      <c r="H118" s="7" t="s">
        <v>1952</v>
      </c>
      <c r="I118" s="7" t="s">
        <v>1952</v>
      </c>
      <c r="J118" s="15" t="s">
        <v>1965</v>
      </c>
      <c r="K118" s="7" t="s">
        <v>2772</v>
      </c>
    </row>
    <row r="119" spans="1:11" s="5" customFormat="1" ht="25.5">
      <c r="A119" s="14">
        <f t="shared" si="4"/>
        <v>115</v>
      </c>
      <c r="B119" s="14" t="s">
        <v>39</v>
      </c>
      <c r="C119" s="9" t="s">
        <v>229</v>
      </c>
      <c r="D119" s="8" t="s">
        <v>1969</v>
      </c>
      <c r="E119" s="37">
        <v>225500</v>
      </c>
      <c r="F119" s="7" t="s">
        <v>1970</v>
      </c>
      <c r="G119" s="7">
        <v>10</v>
      </c>
      <c r="H119" s="7" t="s">
        <v>1971</v>
      </c>
      <c r="I119" s="7" t="s">
        <v>1971</v>
      </c>
      <c r="J119" s="15" t="s">
        <v>1968</v>
      </c>
      <c r="K119" s="7" t="s">
        <v>2231</v>
      </c>
    </row>
    <row r="120" spans="1:11" s="5" customFormat="1" ht="25.5">
      <c r="A120" s="14">
        <f t="shared" si="4"/>
        <v>116</v>
      </c>
      <c r="B120" s="14" t="s">
        <v>40</v>
      </c>
      <c r="C120" s="9" t="s">
        <v>1976</v>
      </c>
      <c r="D120" s="8" t="s">
        <v>1974</v>
      </c>
      <c r="E120" s="37">
        <f>0.308*1000^2</f>
        <v>308000</v>
      </c>
      <c r="F120" s="7" t="s">
        <v>1973</v>
      </c>
      <c r="G120" s="7">
        <v>25</v>
      </c>
      <c r="H120" s="7" t="s">
        <v>1975</v>
      </c>
      <c r="I120" s="3" t="s">
        <v>2271</v>
      </c>
      <c r="J120" s="15" t="s">
        <v>1972</v>
      </c>
      <c r="K120" s="7" t="s">
        <v>2508</v>
      </c>
    </row>
    <row r="121" spans="1:11" s="5" customFormat="1" ht="25.5">
      <c r="A121" s="14">
        <f t="shared" si="4"/>
        <v>117</v>
      </c>
      <c r="B121" s="14" t="s">
        <v>41</v>
      </c>
      <c r="C121" s="9" t="s">
        <v>1571</v>
      </c>
      <c r="D121" s="8" t="s">
        <v>1569</v>
      </c>
      <c r="E121" s="37">
        <v>84935</v>
      </c>
      <c r="F121" s="7" t="s">
        <v>3357</v>
      </c>
      <c r="G121" s="7">
        <v>25</v>
      </c>
      <c r="H121" s="7" t="s">
        <v>1570</v>
      </c>
      <c r="I121" s="7" t="s">
        <v>1570</v>
      </c>
      <c r="J121" s="8" t="s">
        <v>1977</v>
      </c>
      <c r="K121" s="10" t="s">
        <v>1188</v>
      </c>
    </row>
    <row r="122" spans="1:11" s="5" customFormat="1" ht="25.5">
      <c r="A122" s="14">
        <f t="shared" si="4"/>
        <v>118</v>
      </c>
      <c r="B122" s="14" t="s">
        <v>42</v>
      </c>
      <c r="C122" s="9" t="s">
        <v>1575</v>
      </c>
      <c r="D122" s="8" t="s">
        <v>1573</v>
      </c>
      <c r="E122" s="37">
        <v>279856</v>
      </c>
      <c r="F122" s="7" t="s">
        <v>3357</v>
      </c>
      <c r="G122" s="7">
        <v>25</v>
      </c>
      <c r="H122" s="7" t="s">
        <v>1574</v>
      </c>
      <c r="I122" s="3" t="s">
        <v>896</v>
      </c>
      <c r="J122" s="15" t="s">
        <v>1572</v>
      </c>
      <c r="K122" s="7" t="s">
        <v>2508</v>
      </c>
    </row>
    <row r="123" spans="1:11" s="5" customFormat="1" ht="25.5">
      <c r="A123" s="14">
        <f t="shared" si="4"/>
        <v>119</v>
      </c>
      <c r="B123" s="14" t="s">
        <v>43</v>
      </c>
      <c r="C123" s="9" t="s">
        <v>1579</v>
      </c>
      <c r="D123" s="8" t="s">
        <v>1577</v>
      </c>
      <c r="E123" s="37">
        <v>291960</v>
      </c>
      <c r="F123" s="7" t="s">
        <v>3357</v>
      </c>
      <c r="G123" s="7">
        <v>25</v>
      </c>
      <c r="H123" s="7" t="s">
        <v>1578</v>
      </c>
      <c r="I123" s="3" t="s">
        <v>1533</v>
      </c>
      <c r="J123" s="15" t="s">
        <v>1576</v>
      </c>
      <c r="K123" s="7" t="s">
        <v>1840</v>
      </c>
    </row>
    <row r="124" spans="1:11" s="5" customFormat="1" ht="25.5">
      <c r="A124" s="14">
        <f t="shared" si="4"/>
        <v>120</v>
      </c>
      <c r="B124" s="14" t="s">
        <v>44</v>
      </c>
      <c r="C124" s="9" t="s">
        <v>1583</v>
      </c>
      <c r="D124" s="8" t="s">
        <v>1582</v>
      </c>
      <c r="E124" s="37">
        <v>163334</v>
      </c>
      <c r="F124" s="10" t="s">
        <v>1581</v>
      </c>
      <c r="G124" s="7">
        <v>18</v>
      </c>
      <c r="H124" s="7" t="s">
        <v>1948</v>
      </c>
      <c r="I124" s="7" t="s">
        <v>1948</v>
      </c>
      <c r="J124" s="15" t="s">
        <v>1580</v>
      </c>
      <c r="K124" s="7" t="s">
        <v>1188</v>
      </c>
    </row>
    <row r="125" spans="1:11" s="5" customFormat="1" ht="25.5">
      <c r="A125" s="14">
        <f t="shared" si="4"/>
        <v>121</v>
      </c>
      <c r="B125" s="14" t="s">
        <v>45</v>
      </c>
      <c r="C125" s="9" t="s">
        <v>1214</v>
      </c>
      <c r="D125" s="8" t="s">
        <v>1213</v>
      </c>
      <c r="E125" s="37">
        <v>62542</v>
      </c>
      <c r="F125" s="7" t="s">
        <v>3357</v>
      </c>
      <c r="G125" s="7">
        <v>25</v>
      </c>
      <c r="H125" s="7" t="s">
        <v>2163</v>
      </c>
      <c r="I125" s="7" t="s">
        <v>2163</v>
      </c>
      <c r="J125" s="8" t="s">
        <v>203</v>
      </c>
      <c r="K125" s="10" t="s">
        <v>573</v>
      </c>
    </row>
    <row r="126" spans="1:11" s="5" customFormat="1" ht="38.25">
      <c r="A126" s="14">
        <f t="shared" si="4"/>
        <v>122</v>
      </c>
      <c r="B126" s="14" t="s">
        <v>46</v>
      </c>
      <c r="C126" s="9" t="s">
        <v>206</v>
      </c>
      <c r="D126" s="8" t="s">
        <v>211</v>
      </c>
      <c r="E126" s="37">
        <v>556969</v>
      </c>
      <c r="F126" s="10" t="s">
        <v>1581</v>
      </c>
      <c r="G126" s="7">
        <v>25</v>
      </c>
      <c r="H126" s="7" t="s">
        <v>205</v>
      </c>
      <c r="I126" s="7" t="s">
        <v>205</v>
      </c>
      <c r="J126" s="15" t="s">
        <v>204</v>
      </c>
      <c r="K126" s="7" t="s">
        <v>2786</v>
      </c>
    </row>
    <row r="127" spans="1:11" s="5" customFormat="1" ht="38.25">
      <c r="A127" s="14">
        <f t="shared" si="4"/>
        <v>123</v>
      </c>
      <c r="B127" s="14" t="s">
        <v>47</v>
      </c>
      <c r="C127" s="9" t="s">
        <v>210</v>
      </c>
      <c r="D127" s="8" t="s">
        <v>208</v>
      </c>
      <c r="E127" s="37">
        <f>0.662*1000^2</f>
        <v>662000</v>
      </c>
      <c r="F127" s="7" t="s">
        <v>1341</v>
      </c>
      <c r="G127" s="7">
        <v>25</v>
      </c>
      <c r="H127" s="7" t="s">
        <v>1948</v>
      </c>
      <c r="I127" s="3" t="s">
        <v>209</v>
      </c>
      <c r="J127" s="15" t="s">
        <v>207</v>
      </c>
      <c r="K127" s="7" t="s">
        <v>1188</v>
      </c>
    </row>
    <row r="128" spans="1:11" s="5" customFormat="1" ht="25.5">
      <c r="A128" s="14">
        <f t="shared" si="4"/>
        <v>124</v>
      </c>
      <c r="B128" s="14" t="s">
        <v>48</v>
      </c>
      <c r="C128" s="9" t="s">
        <v>215</v>
      </c>
      <c r="D128" s="8" t="s">
        <v>213</v>
      </c>
      <c r="E128" s="37">
        <v>260060</v>
      </c>
      <c r="F128" s="7" t="s">
        <v>623</v>
      </c>
      <c r="G128" s="7">
        <v>25</v>
      </c>
      <c r="H128" s="7" t="s">
        <v>214</v>
      </c>
      <c r="I128" s="7" t="s">
        <v>214</v>
      </c>
      <c r="J128" s="15" t="s">
        <v>212</v>
      </c>
      <c r="K128" s="7" t="s">
        <v>3232</v>
      </c>
    </row>
    <row r="129" spans="1:11" s="5" customFormat="1" ht="25.5">
      <c r="A129" s="14">
        <f t="shared" si="4"/>
        <v>125</v>
      </c>
      <c r="B129" s="14" t="s">
        <v>49</v>
      </c>
      <c r="C129" s="9" t="s">
        <v>395</v>
      </c>
      <c r="D129" s="8" t="s">
        <v>217</v>
      </c>
      <c r="E129" s="37">
        <v>397000</v>
      </c>
      <c r="F129" s="7" t="s">
        <v>623</v>
      </c>
      <c r="G129" s="7">
        <v>25</v>
      </c>
      <c r="H129" s="7" t="s">
        <v>214</v>
      </c>
      <c r="I129" s="7" t="s">
        <v>214</v>
      </c>
      <c r="J129" s="8" t="s">
        <v>216</v>
      </c>
      <c r="K129" s="10" t="s">
        <v>3232</v>
      </c>
    </row>
    <row r="130" spans="1:11" s="5" customFormat="1" ht="25.5">
      <c r="A130" s="14">
        <f t="shared" si="4"/>
        <v>126</v>
      </c>
      <c r="B130" s="14" t="s">
        <v>50</v>
      </c>
      <c r="C130" s="9" t="s">
        <v>399</v>
      </c>
      <c r="D130" s="8" t="s">
        <v>397</v>
      </c>
      <c r="E130" s="37">
        <v>207534</v>
      </c>
      <c r="F130" s="7" t="s">
        <v>1774</v>
      </c>
      <c r="G130" s="7">
        <v>35</v>
      </c>
      <c r="H130" s="7" t="s">
        <v>398</v>
      </c>
      <c r="I130" s="7" t="s">
        <v>398</v>
      </c>
      <c r="J130" s="15" t="s">
        <v>396</v>
      </c>
      <c r="K130" s="7" t="s">
        <v>3233</v>
      </c>
    </row>
    <row r="131" spans="1:11" s="5" customFormat="1" ht="25.5">
      <c r="A131" s="14">
        <f t="shared" si="4"/>
        <v>127</v>
      </c>
      <c r="B131" s="14" t="s">
        <v>51</v>
      </c>
      <c r="C131" s="9" t="s">
        <v>399</v>
      </c>
      <c r="D131" s="8" t="s">
        <v>401</v>
      </c>
      <c r="E131" s="37">
        <v>256900</v>
      </c>
      <c r="F131" s="7" t="s">
        <v>1774</v>
      </c>
      <c r="G131" s="7">
        <v>25</v>
      </c>
      <c r="H131" s="7" t="s">
        <v>402</v>
      </c>
      <c r="I131" s="7" t="s">
        <v>402</v>
      </c>
      <c r="J131" s="15" t="s">
        <v>400</v>
      </c>
      <c r="K131" s="7" t="s">
        <v>1182</v>
      </c>
    </row>
    <row r="132" spans="1:11" s="5" customFormat="1" ht="25.5">
      <c r="A132" s="14">
        <f t="shared" si="4"/>
        <v>128</v>
      </c>
      <c r="B132" s="14" t="s">
        <v>52</v>
      </c>
      <c r="C132" s="9" t="s">
        <v>406</v>
      </c>
      <c r="D132" s="8" t="s">
        <v>404</v>
      </c>
      <c r="E132" s="37">
        <v>153367</v>
      </c>
      <c r="F132" s="7" t="s">
        <v>3357</v>
      </c>
      <c r="G132" s="7">
        <v>25</v>
      </c>
      <c r="H132" s="7" t="s">
        <v>405</v>
      </c>
      <c r="I132" s="7" t="s">
        <v>405</v>
      </c>
      <c r="J132" s="15" t="s">
        <v>403</v>
      </c>
      <c r="K132" s="7" t="s">
        <v>2422</v>
      </c>
    </row>
    <row r="133" spans="1:11" s="5" customFormat="1" ht="25.5">
      <c r="A133" s="14">
        <f t="shared" si="4"/>
        <v>129</v>
      </c>
      <c r="B133" s="14" t="s">
        <v>53</v>
      </c>
      <c r="C133" s="9" t="s">
        <v>411</v>
      </c>
      <c r="D133" s="8" t="s">
        <v>409</v>
      </c>
      <c r="E133" s="37">
        <v>413000</v>
      </c>
      <c r="F133" s="7" t="s">
        <v>408</v>
      </c>
      <c r="G133" s="7">
        <v>35</v>
      </c>
      <c r="H133" s="7" t="s">
        <v>410</v>
      </c>
      <c r="I133" s="7" t="s">
        <v>410</v>
      </c>
      <c r="J133" s="15" t="s">
        <v>407</v>
      </c>
      <c r="K133" s="7" t="s">
        <v>2230</v>
      </c>
    </row>
    <row r="134" spans="1:11" s="5" customFormat="1" ht="25.5">
      <c r="A134" s="14">
        <f t="shared" si="4"/>
        <v>130</v>
      </c>
      <c r="B134" s="14" t="s">
        <v>54</v>
      </c>
      <c r="C134" s="9" t="s">
        <v>411</v>
      </c>
      <c r="D134" s="8" t="s">
        <v>413</v>
      </c>
      <c r="E134" s="37">
        <v>54573</v>
      </c>
      <c r="F134" s="7" t="s">
        <v>1774</v>
      </c>
      <c r="G134" s="7">
        <v>30</v>
      </c>
      <c r="H134" s="7" t="s">
        <v>2368</v>
      </c>
      <c r="I134" s="7" t="s">
        <v>2368</v>
      </c>
      <c r="J134" s="15" t="s">
        <v>412</v>
      </c>
      <c r="K134" s="7" t="s">
        <v>1187</v>
      </c>
    </row>
    <row r="135" spans="1:11" s="5" customFormat="1" ht="25.5">
      <c r="A135" s="14">
        <f t="shared" si="4"/>
        <v>131</v>
      </c>
      <c r="B135" s="14" t="s">
        <v>55</v>
      </c>
      <c r="C135" s="9" t="s">
        <v>415</v>
      </c>
      <c r="D135" s="8" t="s">
        <v>414</v>
      </c>
      <c r="E135" s="37">
        <v>264276</v>
      </c>
      <c r="F135" s="7" t="s">
        <v>1619</v>
      </c>
      <c r="G135" s="7">
        <v>35</v>
      </c>
      <c r="H135" s="7" t="s">
        <v>1054</v>
      </c>
      <c r="I135" s="3" t="s">
        <v>1533</v>
      </c>
      <c r="J135" s="8" t="s">
        <v>416</v>
      </c>
      <c r="K135" s="10" t="s">
        <v>1180</v>
      </c>
    </row>
    <row r="136" spans="1:11" s="5" customFormat="1" ht="25.5">
      <c r="A136" s="14">
        <f t="shared" si="4"/>
        <v>132</v>
      </c>
      <c r="B136" s="14" t="s">
        <v>56</v>
      </c>
      <c r="C136" s="9" t="s">
        <v>420</v>
      </c>
      <c r="D136" s="8" t="s">
        <v>417</v>
      </c>
      <c r="E136" s="37">
        <v>745502</v>
      </c>
      <c r="F136" s="7" t="s">
        <v>1774</v>
      </c>
      <c r="G136" s="7">
        <v>35</v>
      </c>
      <c r="H136" s="7" t="s">
        <v>418</v>
      </c>
      <c r="I136" s="7" t="s">
        <v>418</v>
      </c>
      <c r="J136" s="8" t="s">
        <v>419</v>
      </c>
      <c r="K136" s="10" t="s">
        <v>1187</v>
      </c>
    </row>
    <row r="137" spans="1:11" s="5" customFormat="1" ht="25.5">
      <c r="A137" s="14">
        <f t="shared" si="4"/>
        <v>133</v>
      </c>
      <c r="B137" s="14" t="s">
        <v>57</v>
      </c>
      <c r="C137" s="9" t="s">
        <v>423</v>
      </c>
      <c r="D137" s="8" t="s">
        <v>422</v>
      </c>
      <c r="E137" s="37">
        <v>281715</v>
      </c>
      <c r="F137" s="7" t="s">
        <v>623</v>
      </c>
      <c r="G137" s="7">
        <v>25</v>
      </c>
      <c r="H137" s="7" t="s">
        <v>402</v>
      </c>
      <c r="I137" s="3" t="s">
        <v>1533</v>
      </c>
      <c r="J137" s="15" t="s">
        <v>421</v>
      </c>
      <c r="K137" s="7" t="s">
        <v>1182</v>
      </c>
    </row>
    <row r="138" spans="1:11" s="5" customFormat="1" ht="38.25">
      <c r="A138" s="14">
        <f t="shared" si="4"/>
        <v>134</v>
      </c>
      <c r="B138" s="14" t="s">
        <v>58</v>
      </c>
      <c r="C138" s="9" t="s">
        <v>427</v>
      </c>
      <c r="D138" s="8" t="s">
        <v>425</v>
      </c>
      <c r="E138" s="37">
        <v>306800</v>
      </c>
      <c r="F138" s="7" t="s">
        <v>1618</v>
      </c>
      <c r="G138" s="7">
        <v>20</v>
      </c>
      <c r="H138" s="7" t="s">
        <v>426</v>
      </c>
      <c r="I138" s="3" t="s">
        <v>1533</v>
      </c>
      <c r="J138" s="15" t="s">
        <v>424</v>
      </c>
      <c r="K138" s="7" t="s">
        <v>1752</v>
      </c>
    </row>
    <row r="139" spans="1:11" s="5" customFormat="1" ht="25.5" customHeight="1">
      <c r="A139" s="14">
        <f t="shared" si="4"/>
        <v>135</v>
      </c>
      <c r="B139" s="14" t="s">
        <v>59</v>
      </c>
      <c r="C139" s="9" t="s">
        <v>431</v>
      </c>
      <c r="D139" s="8" t="s">
        <v>429</v>
      </c>
      <c r="E139" s="37">
        <f>0.067*1000^2</f>
        <v>67000</v>
      </c>
      <c r="F139" s="7" t="s">
        <v>1341</v>
      </c>
      <c r="G139" s="7">
        <v>25</v>
      </c>
      <c r="H139" s="7" t="s">
        <v>430</v>
      </c>
      <c r="I139" s="3" t="s">
        <v>2271</v>
      </c>
      <c r="J139" s="15" t="s">
        <v>428</v>
      </c>
      <c r="K139" s="7" t="s">
        <v>2879</v>
      </c>
    </row>
    <row r="140" spans="1:11" s="5" customFormat="1" ht="25.5">
      <c r="A140" s="14">
        <f t="shared" si="4"/>
        <v>136</v>
      </c>
      <c r="B140" s="14" t="s">
        <v>60</v>
      </c>
      <c r="C140" s="9" t="s">
        <v>2996</v>
      </c>
      <c r="D140" s="8" t="s">
        <v>433</v>
      </c>
      <c r="E140" s="37">
        <v>150545</v>
      </c>
      <c r="F140" s="7" t="s">
        <v>3357</v>
      </c>
      <c r="G140" s="7">
        <v>25</v>
      </c>
      <c r="H140" s="7" t="s">
        <v>2995</v>
      </c>
      <c r="I140" s="3" t="s">
        <v>1533</v>
      </c>
      <c r="J140" s="15" t="s">
        <v>432</v>
      </c>
      <c r="K140" s="7" t="s">
        <v>2780</v>
      </c>
    </row>
    <row r="141" spans="1:11" s="5" customFormat="1" ht="38.25">
      <c r="A141" s="14">
        <f aca="true" t="shared" si="5" ref="A141:A172">A140+1</f>
        <v>137</v>
      </c>
      <c r="B141" s="14" t="s">
        <v>61</v>
      </c>
      <c r="C141" s="9" t="s">
        <v>2996</v>
      </c>
      <c r="D141" s="8" t="s">
        <v>2998</v>
      </c>
      <c r="E141" s="37">
        <v>166256</v>
      </c>
      <c r="F141" s="7" t="s">
        <v>3357</v>
      </c>
      <c r="G141" s="7">
        <v>25</v>
      </c>
      <c r="H141" s="7" t="s">
        <v>2995</v>
      </c>
      <c r="I141" s="3" t="s">
        <v>1533</v>
      </c>
      <c r="J141" s="15" t="s">
        <v>2997</v>
      </c>
      <c r="K141" s="7" t="s">
        <v>2780</v>
      </c>
    </row>
    <row r="142" spans="1:11" s="5" customFormat="1" ht="25.5">
      <c r="A142" s="14">
        <f t="shared" si="5"/>
        <v>138</v>
      </c>
      <c r="B142" s="14" t="s">
        <v>62</v>
      </c>
      <c r="C142" s="9" t="s">
        <v>3001</v>
      </c>
      <c r="D142" s="8" t="s">
        <v>2999</v>
      </c>
      <c r="E142" s="37">
        <v>183200</v>
      </c>
      <c r="F142" s="7" t="s">
        <v>3357</v>
      </c>
      <c r="G142" s="7">
        <v>35</v>
      </c>
      <c r="H142" s="7" t="s">
        <v>3000</v>
      </c>
      <c r="I142" s="7" t="s">
        <v>3000</v>
      </c>
      <c r="J142" s="8" t="s">
        <v>1080</v>
      </c>
      <c r="K142" s="10" t="s">
        <v>2501</v>
      </c>
    </row>
    <row r="143" spans="1:11" s="5" customFormat="1" ht="25.5">
      <c r="A143" s="14">
        <f t="shared" si="5"/>
        <v>139</v>
      </c>
      <c r="B143" s="14" t="s">
        <v>63</v>
      </c>
      <c r="C143" s="9" t="s">
        <v>1088</v>
      </c>
      <c r="D143" s="8" t="s">
        <v>3004</v>
      </c>
      <c r="E143" s="37">
        <v>125580</v>
      </c>
      <c r="F143" s="7" t="s">
        <v>623</v>
      </c>
      <c r="G143" s="7">
        <v>10</v>
      </c>
      <c r="H143" s="7" t="s">
        <v>3003</v>
      </c>
      <c r="I143" s="7" t="s">
        <v>3003</v>
      </c>
      <c r="J143" s="15" t="s">
        <v>3002</v>
      </c>
      <c r="K143" s="7" t="s">
        <v>1163</v>
      </c>
    </row>
    <row r="144" spans="1:11" s="5" customFormat="1" ht="38.25">
      <c r="A144" s="14">
        <f t="shared" si="5"/>
        <v>140</v>
      </c>
      <c r="B144" s="14" t="s">
        <v>64</v>
      </c>
      <c r="C144" s="9" t="s">
        <v>3260</v>
      </c>
      <c r="D144" s="8" t="s">
        <v>3005</v>
      </c>
      <c r="E144" s="37">
        <v>211639</v>
      </c>
      <c r="F144" s="7" t="s">
        <v>3357</v>
      </c>
      <c r="G144" s="7">
        <v>25</v>
      </c>
      <c r="H144" s="7" t="s">
        <v>3006</v>
      </c>
      <c r="I144" s="3" t="s">
        <v>1018</v>
      </c>
      <c r="J144" s="8" t="s">
        <v>3007</v>
      </c>
      <c r="K144" s="10" t="s">
        <v>1189</v>
      </c>
    </row>
    <row r="145" spans="1:11" s="5" customFormat="1" ht="25.5" customHeight="1">
      <c r="A145" s="14">
        <f t="shared" si="5"/>
        <v>141</v>
      </c>
      <c r="B145" s="14" t="s">
        <v>65</v>
      </c>
      <c r="C145" s="9" t="s">
        <v>3010</v>
      </c>
      <c r="D145" s="8" t="s">
        <v>3009</v>
      </c>
      <c r="E145" s="37">
        <f>0.157*1000^2</f>
        <v>157000</v>
      </c>
      <c r="F145" s="7" t="s">
        <v>2370</v>
      </c>
      <c r="G145" s="7">
        <v>25</v>
      </c>
      <c r="H145" s="7" t="s">
        <v>3011</v>
      </c>
      <c r="I145" s="3" t="s">
        <v>1876</v>
      </c>
      <c r="J145" s="15" t="s">
        <v>3008</v>
      </c>
      <c r="K145" s="7" t="s">
        <v>1191</v>
      </c>
    </row>
    <row r="146" spans="1:11" s="5" customFormat="1" ht="25.5">
      <c r="A146" s="14">
        <f t="shared" si="5"/>
        <v>142</v>
      </c>
      <c r="B146" s="14" t="s">
        <v>66</v>
      </c>
      <c r="C146" s="9" t="s">
        <v>3015</v>
      </c>
      <c r="D146" s="8" t="s">
        <v>3013</v>
      </c>
      <c r="E146" s="37">
        <v>113000</v>
      </c>
      <c r="F146" s="7" t="s">
        <v>3014</v>
      </c>
      <c r="G146" s="7">
        <v>25</v>
      </c>
      <c r="H146" s="7" t="s">
        <v>3016</v>
      </c>
      <c r="I146" s="3" t="s">
        <v>3017</v>
      </c>
      <c r="J146" s="15" t="s">
        <v>3012</v>
      </c>
      <c r="K146" s="7" t="s">
        <v>2502</v>
      </c>
    </row>
    <row r="147" spans="1:11" s="5" customFormat="1" ht="38.25">
      <c r="A147" s="14">
        <f t="shared" si="5"/>
        <v>143</v>
      </c>
      <c r="B147" s="14" t="s">
        <v>68</v>
      </c>
      <c r="C147" s="9" t="s">
        <v>3258</v>
      </c>
      <c r="D147" s="8" t="s">
        <v>3257</v>
      </c>
      <c r="E147" s="37">
        <v>98320</v>
      </c>
      <c r="F147" s="7" t="s">
        <v>623</v>
      </c>
      <c r="G147" s="7">
        <v>20</v>
      </c>
      <c r="H147" s="7" t="s">
        <v>3259</v>
      </c>
      <c r="I147" s="7" t="s">
        <v>3259</v>
      </c>
      <c r="J147" s="15" t="s">
        <v>3256</v>
      </c>
      <c r="K147" s="7" t="s">
        <v>1163</v>
      </c>
    </row>
    <row r="148" spans="1:11" s="5" customFormat="1" ht="25.5" customHeight="1">
      <c r="A148" s="14">
        <f t="shared" si="5"/>
        <v>144</v>
      </c>
      <c r="B148" s="14" t="s">
        <v>69</v>
      </c>
      <c r="C148" s="9" t="s">
        <v>3260</v>
      </c>
      <c r="D148" s="8" t="s">
        <v>872</v>
      </c>
      <c r="E148" s="37">
        <v>178976</v>
      </c>
      <c r="F148" s="7" t="s">
        <v>3357</v>
      </c>
      <c r="G148" s="7">
        <v>25</v>
      </c>
      <c r="H148" s="7" t="s">
        <v>2177</v>
      </c>
      <c r="I148" s="3" t="s">
        <v>1018</v>
      </c>
      <c r="J148" s="8" t="s">
        <v>3261</v>
      </c>
      <c r="K148" s="10" t="s">
        <v>1190</v>
      </c>
    </row>
    <row r="149" spans="1:11" s="5" customFormat="1" ht="38.25">
      <c r="A149" s="14">
        <f t="shared" si="5"/>
        <v>145</v>
      </c>
      <c r="B149" s="14" t="s">
        <v>70</v>
      </c>
      <c r="C149" s="9" t="s">
        <v>693</v>
      </c>
      <c r="D149" s="8" t="s">
        <v>3263</v>
      </c>
      <c r="E149" s="37">
        <v>493898</v>
      </c>
      <c r="F149" s="10" t="s">
        <v>1581</v>
      </c>
      <c r="G149" s="7">
        <v>25</v>
      </c>
      <c r="H149" s="7" t="s">
        <v>694</v>
      </c>
      <c r="I149" s="7" t="s">
        <v>694</v>
      </c>
      <c r="J149" s="15" t="s">
        <v>3262</v>
      </c>
      <c r="K149" s="7" t="s">
        <v>1192</v>
      </c>
    </row>
    <row r="150" spans="1:11" s="5" customFormat="1" ht="25.5" customHeight="1">
      <c r="A150" s="14">
        <f t="shared" si="5"/>
        <v>146</v>
      </c>
      <c r="B150" s="14" t="s">
        <v>71</v>
      </c>
      <c r="C150" s="9" t="s">
        <v>698</v>
      </c>
      <c r="D150" s="8" t="s">
        <v>2287</v>
      </c>
      <c r="E150" s="37">
        <f>0.156*1000^2</f>
        <v>156000</v>
      </c>
      <c r="F150" s="7" t="s">
        <v>3357</v>
      </c>
      <c r="G150" s="7">
        <v>25</v>
      </c>
      <c r="H150" s="7" t="s">
        <v>696</v>
      </c>
      <c r="I150" s="3" t="s">
        <v>697</v>
      </c>
      <c r="J150" s="15" t="s">
        <v>695</v>
      </c>
      <c r="K150" s="7" t="s">
        <v>1191</v>
      </c>
    </row>
    <row r="151" spans="1:11" s="5" customFormat="1" ht="25.5">
      <c r="A151" s="14">
        <f t="shared" si="5"/>
        <v>147</v>
      </c>
      <c r="B151" s="14" t="s">
        <v>72</v>
      </c>
      <c r="C151" s="9" t="s">
        <v>702</v>
      </c>
      <c r="D151" s="8" t="s">
        <v>700</v>
      </c>
      <c r="E151" s="37">
        <v>617600</v>
      </c>
      <c r="F151" s="7" t="s">
        <v>699</v>
      </c>
      <c r="G151" s="7">
        <v>10</v>
      </c>
      <c r="H151" s="7" t="s">
        <v>701</v>
      </c>
      <c r="I151" s="7" t="s">
        <v>701</v>
      </c>
      <c r="J151" s="8" t="s">
        <v>703</v>
      </c>
      <c r="K151" s="10" t="s">
        <v>1192</v>
      </c>
    </row>
    <row r="152" spans="1:11" s="5" customFormat="1" ht="25.5">
      <c r="A152" s="14">
        <f t="shared" si="5"/>
        <v>148</v>
      </c>
      <c r="B152" s="14" t="s">
        <v>73</v>
      </c>
      <c r="C152" s="9" t="s">
        <v>702</v>
      </c>
      <c r="D152" s="8" t="s">
        <v>704</v>
      </c>
      <c r="E152" s="37">
        <v>623000</v>
      </c>
      <c r="F152" s="7" t="s">
        <v>699</v>
      </c>
      <c r="G152" s="7">
        <v>10</v>
      </c>
      <c r="H152" s="7" t="s">
        <v>701</v>
      </c>
      <c r="I152" s="7" t="s">
        <v>701</v>
      </c>
      <c r="J152" s="8" t="s">
        <v>2116</v>
      </c>
      <c r="K152" s="10" t="s">
        <v>1191</v>
      </c>
    </row>
    <row r="153" spans="1:11" s="5" customFormat="1" ht="25.5">
      <c r="A153" s="14">
        <f t="shared" si="5"/>
        <v>149</v>
      </c>
      <c r="B153" s="14" t="s">
        <v>74</v>
      </c>
      <c r="C153" s="9" t="s">
        <v>1891</v>
      </c>
      <c r="D153" s="8" t="s">
        <v>705</v>
      </c>
      <c r="E153" s="37">
        <v>11823</v>
      </c>
      <c r="F153" s="7" t="s">
        <v>1341</v>
      </c>
      <c r="G153" s="7">
        <v>25</v>
      </c>
      <c r="H153" s="7" t="s">
        <v>706</v>
      </c>
      <c r="I153" s="7" t="s">
        <v>706</v>
      </c>
      <c r="J153" s="8" t="s">
        <v>1893</v>
      </c>
      <c r="K153" s="10" t="s">
        <v>1165</v>
      </c>
    </row>
    <row r="154" spans="1:11" s="5" customFormat="1" ht="25.5">
      <c r="A154" s="14">
        <f t="shared" si="5"/>
        <v>150</v>
      </c>
      <c r="B154" s="14" t="s">
        <v>75</v>
      </c>
      <c r="C154" s="9" t="s">
        <v>1895</v>
      </c>
      <c r="D154" s="8" t="s">
        <v>1894</v>
      </c>
      <c r="E154" s="37">
        <v>63777</v>
      </c>
      <c r="F154" s="7" t="s">
        <v>3357</v>
      </c>
      <c r="G154" s="7">
        <v>25</v>
      </c>
      <c r="H154" s="7" t="s">
        <v>694</v>
      </c>
      <c r="I154" s="7" t="s">
        <v>694</v>
      </c>
      <c r="J154" s="8" t="s">
        <v>1892</v>
      </c>
      <c r="K154" s="10" t="s">
        <v>1192</v>
      </c>
    </row>
    <row r="155" spans="1:11" s="5" customFormat="1" ht="25.5">
      <c r="A155" s="14">
        <f t="shared" si="5"/>
        <v>151</v>
      </c>
      <c r="B155" s="14" t="s">
        <v>76</v>
      </c>
      <c r="C155" s="9" t="s">
        <v>1900</v>
      </c>
      <c r="D155" s="8" t="s">
        <v>1897</v>
      </c>
      <c r="E155" s="37">
        <v>58600</v>
      </c>
      <c r="F155" s="7" t="s">
        <v>1022</v>
      </c>
      <c r="G155" s="7">
        <v>25</v>
      </c>
      <c r="H155" s="7" t="s">
        <v>1898</v>
      </c>
      <c r="I155" s="3" t="s">
        <v>1899</v>
      </c>
      <c r="J155" s="15" t="s">
        <v>1896</v>
      </c>
      <c r="K155" s="7" t="s">
        <v>2773</v>
      </c>
    </row>
    <row r="156" spans="1:11" s="5" customFormat="1" ht="25.5">
      <c r="A156" s="14">
        <f t="shared" si="5"/>
        <v>152</v>
      </c>
      <c r="B156" s="14" t="s">
        <v>77</v>
      </c>
      <c r="C156" s="9" t="s">
        <v>1956</v>
      </c>
      <c r="D156" s="8" t="s">
        <v>1902</v>
      </c>
      <c r="E156" s="37">
        <v>131754</v>
      </c>
      <c r="F156" s="7" t="s">
        <v>623</v>
      </c>
      <c r="G156" s="7">
        <v>15</v>
      </c>
      <c r="H156" s="7" t="s">
        <v>1920</v>
      </c>
      <c r="I156" s="10" t="s">
        <v>1921</v>
      </c>
      <c r="J156" s="15" t="s">
        <v>1901</v>
      </c>
      <c r="K156" s="7" t="s">
        <v>1821</v>
      </c>
    </row>
    <row r="157" spans="1:11" s="5" customFormat="1" ht="25.5">
      <c r="A157" s="14">
        <f t="shared" si="5"/>
        <v>153</v>
      </c>
      <c r="B157" s="14" t="s">
        <v>78</v>
      </c>
      <c r="C157" s="9" t="s">
        <v>229</v>
      </c>
      <c r="D157" s="8" t="s">
        <v>1923</v>
      </c>
      <c r="E157" s="37">
        <v>98000</v>
      </c>
      <c r="F157" s="7" t="s">
        <v>1618</v>
      </c>
      <c r="G157" s="7">
        <v>10</v>
      </c>
      <c r="H157" s="7" t="s">
        <v>1924</v>
      </c>
      <c r="I157" s="7" t="s">
        <v>1924</v>
      </c>
      <c r="J157" s="15" t="s">
        <v>1922</v>
      </c>
      <c r="K157" s="7" t="s">
        <v>2572</v>
      </c>
    </row>
    <row r="158" spans="1:11" s="5" customFormat="1" ht="25.5">
      <c r="A158" s="14">
        <f t="shared" si="5"/>
        <v>154</v>
      </c>
      <c r="B158" s="14" t="s">
        <v>79</v>
      </c>
      <c r="C158" s="9" t="s">
        <v>1635</v>
      </c>
      <c r="D158" s="8" t="s">
        <v>621</v>
      </c>
      <c r="E158" s="37">
        <v>1427942</v>
      </c>
      <c r="F158" s="7" t="s">
        <v>1581</v>
      </c>
      <c r="G158" s="7">
        <v>25</v>
      </c>
      <c r="H158" s="7" t="s">
        <v>186</v>
      </c>
      <c r="I158" s="7" t="s">
        <v>186</v>
      </c>
      <c r="J158" s="8" t="s">
        <v>187</v>
      </c>
      <c r="K158" s="10" t="s">
        <v>2572</v>
      </c>
    </row>
    <row r="159" spans="1:11" s="5" customFormat="1" ht="25.5">
      <c r="A159" s="14">
        <f t="shared" si="5"/>
        <v>155</v>
      </c>
      <c r="B159" s="14" t="s">
        <v>80</v>
      </c>
      <c r="C159" s="9" t="s">
        <v>191</v>
      </c>
      <c r="D159" s="8" t="s">
        <v>189</v>
      </c>
      <c r="E159" s="37">
        <v>306523</v>
      </c>
      <c r="F159" s="7" t="s">
        <v>3357</v>
      </c>
      <c r="G159" s="7">
        <v>25</v>
      </c>
      <c r="H159" s="7" t="s">
        <v>190</v>
      </c>
      <c r="I159" s="7" t="s">
        <v>190</v>
      </c>
      <c r="J159" s="15" t="s">
        <v>188</v>
      </c>
      <c r="K159" s="7" t="s">
        <v>1826</v>
      </c>
    </row>
    <row r="160" spans="1:11" s="5" customFormat="1" ht="25.5">
      <c r="A160" s="14">
        <f t="shared" si="5"/>
        <v>156</v>
      </c>
      <c r="B160" s="14" t="s">
        <v>81</v>
      </c>
      <c r="C160" s="9" t="s">
        <v>195</v>
      </c>
      <c r="D160" s="8" t="s">
        <v>193</v>
      </c>
      <c r="E160" s="37">
        <v>728400</v>
      </c>
      <c r="F160" s="7" t="s">
        <v>194</v>
      </c>
      <c r="G160" s="7">
        <v>25</v>
      </c>
      <c r="H160" s="7" t="s">
        <v>196</v>
      </c>
      <c r="I160" s="7" t="s">
        <v>196</v>
      </c>
      <c r="J160" s="15" t="s">
        <v>192</v>
      </c>
      <c r="K160" s="7" t="s">
        <v>1841</v>
      </c>
    </row>
    <row r="161" spans="1:11" s="5" customFormat="1" ht="25.5">
      <c r="A161" s="14">
        <f t="shared" si="5"/>
        <v>157</v>
      </c>
      <c r="B161" s="14" t="s">
        <v>82</v>
      </c>
      <c r="C161" s="9" t="s">
        <v>199</v>
      </c>
      <c r="D161" s="8" t="s">
        <v>198</v>
      </c>
      <c r="E161" s="37">
        <v>330841</v>
      </c>
      <c r="F161" s="7" t="s">
        <v>3357</v>
      </c>
      <c r="G161" s="7">
        <v>25</v>
      </c>
      <c r="H161" s="7" t="s">
        <v>186</v>
      </c>
      <c r="I161" s="3" t="s">
        <v>1899</v>
      </c>
      <c r="J161" s="15" t="s">
        <v>197</v>
      </c>
      <c r="K161" s="7" t="s">
        <v>2572</v>
      </c>
    </row>
    <row r="162" spans="1:11" s="5" customFormat="1" ht="25.5">
      <c r="A162" s="14">
        <f t="shared" si="5"/>
        <v>158</v>
      </c>
      <c r="B162" s="14" t="s">
        <v>83</v>
      </c>
      <c r="C162" s="9" t="s">
        <v>2383</v>
      </c>
      <c r="D162" s="8" t="s">
        <v>201</v>
      </c>
      <c r="E162" s="37">
        <v>133000</v>
      </c>
      <c r="F162" s="7" t="s">
        <v>1418</v>
      </c>
      <c r="G162" s="7">
        <v>25</v>
      </c>
      <c r="H162" s="7" t="s">
        <v>202</v>
      </c>
      <c r="I162" s="7" t="s">
        <v>202</v>
      </c>
      <c r="J162" s="15" t="s">
        <v>200</v>
      </c>
      <c r="K162" s="7" t="s">
        <v>2829</v>
      </c>
    </row>
    <row r="163" spans="1:11" s="5" customFormat="1" ht="25.5">
      <c r="A163" s="14">
        <f t="shared" si="5"/>
        <v>159</v>
      </c>
      <c r="B163" s="14" t="s">
        <v>84</v>
      </c>
      <c r="C163" s="9" t="s">
        <v>2386</v>
      </c>
      <c r="D163" s="8" t="s">
        <v>2385</v>
      </c>
      <c r="E163" s="37">
        <v>120819</v>
      </c>
      <c r="F163" s="7" t="s">
        <v>2388</v>
      </c>
      <c r="G163" s="7">
        <v>25</v>
      </c>
      <c r="H163" s="7" t="s">
        <v>2387</v>
      </c>
      <c r="I163" s="7" t="s">
        <v>2387</v>
      </c>
      <c r="J163" s="15" t="s">
        <v>2384</v>
      </c>
      <c r="K163" s="7" t="s">
        <v>2774</v>
      </c>
    </row>
    <row r="164" spans="1:11" s="5" customFormat="1" ht="25.5">
      <c r="A164" s="14">
        <f t="shared" si="5"/>
        <v>160</v>
      </c>
      <c r="B164" s="14" t="s">
        <v>85</v>
      </c>
      <c r="C164" s="9" t="s">
        <v>2390</v>
      </c>
      <c r="D164" s="8" t="s">
        <v>2391</v>
      </c>
      <c r="E164" s="37">
        <v>711335</v>
      </c>
      <c r="F164" s="7" t="s">
        <v>3357</v>
      </c>
      <c r="G164" s="7">
        <v>25</v>
      </c>
      <c r="H164" s="7" t="s">
        <v>2392</v>
      </c>
      <c r="I164" s="7" t="s">
        <v>2392</v>
      </c>
      <c r="J164" s="15" t="s">
        <v>2389</v>
      </c>
      <c r="K164" s="7" t="s">
        <v>2861</v>
      </c>
    </row>
    <row r="165" spans="1:11" s="5" customFormat="1" ht="25.5">
      <c r="A165" s="14">
        <f t="shared" si="5"/>
        <v>161</v>
      </c>
      <c r="B165" s="14" t="s">
        <v>86</v>
      </c>
      <c r="C165" s="9" t="s">
        <v>2396</v>
      </c>
      <c r="D165" s="8" t="s">
        <v>2395</v>
      </c>
      <c r="E165" s="37">
        <v>119928</v>
      </c>
      <c r="F165" s="10" t="s">
        <v>2394</v>
      </c>
      <c r="G165" s="7">
        <v>25</v>
      </c>
      <c r="H165" s="7" t="s">
        <v>218</v>
      </c>
      <c r="I165" s="7" t="s">
        <v>218</v>
      </c>
      <c r="J165" s="15" t="s">
        <v>2393</v>
      </c>
      <c r="K165" s="7" t="s">
        <v>2863</v>
      </c>
    </row>
    <row r="166" spans="1:11" s="5" customFormat="1" ht="25.5">
      <c r="A166" s="14">
        <f t="shared" si="5"/>
        <v>162</v>
      </c>
      <c r="B166" s="14" t="s">
        <v>87</v>
      </c>
      <c r="C166" s="9" t="s">
        <v>221</v>
      </c>
      <c r="D166" s="8" t="s">
        <v>219</v>
      </c>
      <c r="E166" s="37">
        <v>299396</v>
      </c>
      <c r="F166" s="7" t="s">
        <v>1418</v>
      </c>
      <c r="G166" s="7">
        <v>35</v>
      </c>
      <c r="H166" s="7" t="s">
        <v>220</v>
      </c>
      <c r="I166" s="7" t="s">
        <v>220</v>
      </c>
      <c r="J166" s="8" t="s">
        <v>222</v>
      </c>
      <c r="K166" s="10" t="s">
        <v>581</v>
      </c>
    </row>
    <row r="167" spans="1:11" s="5" customFormat="1" ht="25.5">
      <c r="A167" s="14">
        <f t="shared" si="5"/>
        <v>163</v>
      </c>
      <c r="B167" s="14" t="s">
        <v>88</v>
      </c>
      <c r="C167" s="9" t="s">
        <v>225</v>
      </c>
      <c r="D167" s="8" t="s">
        <v>224</v>
      </c>
      <c r="E167" s="37">
        <v>321300</v>
      </c>
      <c r="F167" s="7" t="s">
        <v>2311</v>
      </c>
      <c r="G167" s="7">
        <v>30</v>
      </c>
      <c r="H167" s="7" t="s">
        <v>226</v>
      </c>
      <c r="I167" s="3" t="s">
        <v>1533</v>
      </c>
      <c r="J167" s="15" t="s">
        <v>223</v>
      </c>
      <c r="K167" s="7" t="s">
        <v>2787</v>
      </c>
    </row>
    <row r="168" spans="1:11" s="5" customFormat="1" ht="25.5">
      <c r="A168" s="14">
        <f t="shared" si="5"/>
        <v>164</v>
      </c>
      <c r="B168" s="14" t="s">
        <v>89</v>
      </c>
      <c r="C168" s="9" t="s">
        <v>229</v>
      </c>
      <c r="D168" s="8" t="s">
        <v>228</v>
      </c>
      <c r="E168" s="37">
        <v>454000</v>
      </c>
      <c r="F168" s="7" t="s">
        <v>649</v>
      </c>
      <c r="G168" s="7">
        <v>25</v>
      </c>
      <c r="H168" s="7" t="s">
        <v>2284</v>
      </c>
      <c r="I168" s="7" t="s">
        <v>2284</v>
      </c>
      <c r="J168" s="15" t="s">
        <v>227</v>
      </c>
      <c r="K168" s="7" t="s">
        <v>1185</v>
      </c>
    </row>
    <row r="169" spans="1:11" s="5" customFormat="1" ht="25.5">
      <c r="A169" s="14">
        <f t="shared" si="5"/>
        <v>165</v>
      </c>
      <c r="B169" s="14" t="s">
        <v>90</v>
      </c>
      <c r="C169" s="9" t="s">
        <v>233</v>
      </c>
      <c r="D169" s="8" t="s">
        <v>231</v>
      </c>
      <c r="E169" s="37">
        <v>20600</v>
      </c>
      <c r="F169" s="7" t="s">
        <v>232</v>
      </c>
      <c r="G169" s="7">
        <v>12</v>
      </c>
      <c r="H169" s="7" t="s">
        <v>234</v>
      </c>
      <c r="I169" s="7" t="s">
        <v>234</v>
      </c>
      <c r="J169" s="15" t="s">
        <v>230</v>
      </c>
      <c r="K169" s="7" t="s">
        <v>2862</v>
      </c>
    </row>
    <row r="170" spans="1:11" s="5" customFormat="1" ht="38.25">
      <c r="A170" s="14">
        <f t="shared" si="5"/>
        <v>166</v>
      </c>
      <c r="B170" s="14" t="s">
        <v>91</v>
      </c>
      <c r="C170" s="9" t="s">
        <v>237</v>
      </c>
      <c r="D170" s="8" t="s">
        <v>236</v>
      </c>
      <c r="E170" s="37">
        <v>42350</v>
      </c>
      <c r="F170" s="7" t="s">
        <v>2311</v>
      </c>
      <c r="G170" s="7">
        <v>25</v>
      </c>
      <c r="H170" s="7" t="s">
        <v>238</v>
      </c>
      <c r="I170" s="3" t="s">
        <v>239</v>
      </c>
      <c r="J170" s="15" t="s">
        <v>235</v>
      </c>
      <c r="K170" s="7" t="s">
        <v>1842</v>
      </c>
    </row>
    <row r="171" spans="1:11" s="5" customFormat="1" ht="25.5" customHeight="1">
      <c r="A171" s="14">
        <f t="shared" si="5"/>
        <v>167</v>
      </c>
      <c r="B171" s="14" t="s">
        <v>92</v>
      </c>
      <c r="C171" s="9" t="s">
        <v>243</v>
      </c>
      <c r="D171" s="8" t="s">
        <v>241</v>
      </c>
      <c r="E171" s="37">
        <v>322861</v>
      </c>
      <c r="F171" s="7" t="s">
        <v>242</v>
      </c>
      <c r="G171" s="7">
        <v>25</v>
      </c>
      <c r="H171" s="7" t="s">
        <v>244</v>
      </c>
      <c r="I171" s="7" t="s">
        <v>244</v>
      </c>
      <c r="J171" s="15" t="s">
        <v>240</v>
      </c>
      <c r="K171" s="7" t="s">
        <v>2423</v>
      </c>
    </row>
    <row r="172" spans="1:11" s="5" customFormat="1" ht="25.5" customHeight="1">
      <c r="A172" s="14">
        <f t="shared" si="5"/>
        <v>168</v>
      </c>
      <c r="B172" s="14" t="s">
        <v>93</v>
      </c>
      <c r="C172" s="9" t="s">
        <v>249</v>
      </c>
      <c r="D172" s="8" t="s">
        <v>246</v>
      </c>
      <c r="E172" s="37">
        <v>438417</v>
      </c>
      <c r="F172" s="7" t="s">
        <v>247</v>
      </c>
      <c r="G172" s="7">
        <v>25</v>
      </c>
      <c r="H172" s="7" t="s">
        <v>248</v>
      </c>
      <c r="I172" s="7" t="s">
        <v>248</v>
      </c>
      <c r="J172" s="15" t="s">
        <v>245</v>
      </c>
      <c r="K172" s="7" t="s">
        <v>2837</v>
      </c>
    </row>
    <row r="173" spans="1:11" s="5" customFormat="1" ht="25.5">
      <c r="A173" s="14">
        <f aca="true" t="shared" si="6" ref="A173:A180">A172+1</f>
        <v>169</v>
      </c>
      <c r="B173" s="14" t="s">
        <v>250</v>
      </c>
      <c r="C173" s="9" t="s">
        <v>1301</v>
      </c>
      <c r="D173" s="8" t="s">
        <v>1300</v>
      </c>
      <c r="E173" s="37">
        <v>179000</v>
      </c>
      <c r="F173" s="7" t="s">
        <v>1774</v>
      </c>
      <c r="G173" s="7">
        <v>25</v>
      </c>
      <c r="H173" s="7" t="s">
        <v>1302</v>
      </c>
      <c r="I173" s="3" t="s">
        <v>1303</v>
      </c>
      <c r="J173" s="15" t="s">
        <v>1299</v>
      </c>
      <c r="K173" s="7" t="s">
        <v>1193</v>
      </c>
    </row>
    <row r="174" spans="1:11" s="5" customFormat="1" ht="25.5">
      <c r="A174" s="14">
        <f t="shared" si="6"/>
        <v>170</v>
      </c>
      <c r="B174" s="14" t="s">
        <v>251</v>
      </c>
      <c r="C174" s="9" t="s">
        <v>1088</v>
      </c>
      <c r="D174" s="8" t="s">
        <v>1305</v>
      </c>
      <c r="E174" s="37">
        <v>174224</v>
      </c>
      <c r="F174" s="7" t="s">
        <v>3357</v>
      </c>
      <c r="G174" s="7">
        <v>25</v>
      </c>
      <c r="H174" s="7" t="s">
        <v>1306</v>
      </c>
      <c r="I174" s="7" t="s">
        <v>1306</v>
      </c>
      <c r="J174" s="15" t="s">
        <v>1304</v>
      </c>
      <c r="K174" s="7" t="s">
        <v>1166</v>
      </c>
    </row>
    <row r="175" spans="1:11" s="5" customFormat="1" ht="38.25">
      <c r="A175" s="14">
        <f t="shared" si="6"/>
        <v>171</v>
      </c>
      <c r="B175" s="14" t="s">
        <v>252</v>
      </c>
      <c r="C175" s="9" t="s">
        <v>1309</v>
      </c>
      <c r="D175" s="8" t="s">
        <v>1308</v>
      </c>
      <c r="E175" s="37">
        <v>30000</v>
      </c>
      <c r="F175" s="7" t="s">
        <v>1418</v>
      </c>
      <c r="G175" s="7">
        <v>25</v>
      </c>
      <c r="H175" s="7" t="s">
        <v>1310</v>
      </c>
      <c r="I175" s="3" t="s">
        <v>1533</v>
      </c>
      <c r="J175" s="15" t="s">
        <v>1307</v>
      </c>
      <c r="K175" s="7" t="s">
        <v>1822</v>
      </c>
    </row>
    <row r="176" spans="1:11" s="5" customFormat="1" ht="25.5">
      <c r="A176" s="14">
        <f t="shared" si="6"/>
        <v>172</v>
      </c>
      <c r="B176" s="14" t="s">
        <v>253</v>
      </c>
      <c r="C176" s="9" t="s">
        <v>1313</v>
      </c>
      <c r="D176" s="8" t="s">
        <v>1312</v>
      </c>
      <c r="E176" s="37">
        <v>106234</v>
      </c>
      <c r="F176" s="7" t="s">
        <v>623</v>
      </c>
      <c r="G176" s="7">
        <v>7</v>
      </c>
      <c r="H176" s="7" t="s">
        <v>1310</v>
      </c>
      <c r="I176" s="7" t="s">
        <v>1310</v>
      </c>
      <c r="J176" s="15" t="s">
        <v>1311</v>
      </c>
      <c r="K176" s="7" t="s">
        <v>1822</v>
      </c>
    </row>
    <row r="177" spans="1:11" s="5" customFormat="1" ht="25.5">
      <c r="A177" s="14">
        <f t="shared" si="6"/>
        <v>173</v>
      </c>
      <c r="B177" s="14" t="s">
        <v>254</v>
      </c>
      <c r="C177" s="9" t="s">
        <v>1317</v>
      </c>
      <c r="D177" s="8" t="s">
        <v>1315</v>
      </c>
      <c r="E177" s="37">
        <v>119640</v>
      </c>
      <c r="F177" s="10" t="s">
        <v>1316</v>
      </c>
      <c r="G177" s="7">
        <v>25</v>
      </c>
      <c r="H177" s="7" t="s">
        <v>244</v>
      </c>
      <c r="I177" s="7" t="s">
        <v>244</v>
      </c>
      <c r="J177" s="15" t="s">
        <v>1314</v>
      </c>
      <c r="K177" s="7" t="s">
        <v>2423</v>
      </c>
    </row>
    <row r="178" spans="1:11" s="5" customFormat="1" ht="38.25">
      <c r="A178" s="14">
        <f t="shared" si="6"/>
        <v>174</v>
      </c>
      <c r="B178" s="14" t="s">
        <v>255</v>
      </c>
      <c r="C178" s="9" t="s">
        <v>1320</v>
      </c>
      <c r="D178" s="8" t="s">
        <v>1319</v>
      </c>
      <c r="E178" s="37">
        <v>1281172</v>
      </c>
      <c r="F178" s="7" t="s">
        <v>657</v>
      </c>
      <c r="G178" s="7">
        <v>25</v>
      </c>
      <c r="H178" s="7" t="s">
        <v>1321</v>
      </c>
      <c r="I178" s="3" t="s">
        <v>1322</v>
      </c>
      <c r="J178" s="8" t="s">
        <v>1318</v>
      </c>
      <c r="K178" s="10" t="s">
        <v>2855</v>
      </c>
    </row>
    <row r="179" spans="1:11" s="5" customFormat="1" ht="25.5" customHeight="1">
      <c r="A179" s="14">
        <f t="shared" si="6"/>
        <v>175</v>
      </c>
      <c r="B179" s="14" t="s">
        <v>256</v>
      </c>
      <c r="C179" s="9" t="s">
        <v>195</v>
      </c>
      <c r="D179" s="8" t="s">
        <v>1324</v>
      </c>
      <c r="E179" s="37">
        <v>399143</v>
      </c>
      <c r="F179" s="7" t="s">
        <v>623</v>
      </c>
      <c r="G179" s="7">
        <v>20</v>
      </c>
      <c r="H179" s="7" t="s">
        <v>1325</v>
      </c>
      <c r="I179" s="7" t="s">
        <v>1325</v>
      </c>
      <c r="J179" s="15" t="s">
        <v>1323</v>
      </c>
      <c r="K179" s="7" t="s">
        <v>1843</v>
      </c>
    </row>
    <row r="180" spans="1:11" s="5" customFormat="1" ht="25.5">
      <c r="A180" s="14">
        <f t="shared" si="6"/>
        <v>176</v>
      </c>
      <c r="B180" s="14" t="s">
        <v>257</v>
      </c>
      <c r="C180" s="9" t="s">
        <v>1328</v>
      </c>
      <c r="D180" s="8" t="s">
        <v>1327</v>
      </c>
      <c r="E180" s="37">
        <v>458669</v>
      </c>
      <c r="F180" s="7" t="s">
        <v>194</v>
      </c>
      <c r="G180" s="7">
        <v>25</v>
      </c>
      <c r="H180" s="7" t="s">
        <v>1325</v>
      </c>
      <c r="I180" s="7" t="s">
        <v>1325</v>
      </c>
      <c r="J180" s="15" t="s">
        <v>1326</v>
      </c>
      <c r="K180" s="7" t="s">
        <v>2483</v>
      </c>
    </row>
    <row r="181" spans="1:11" s="5" customFormat="1" ht="38.25">
      <c r="A181" s="14">
        <f aca="true" t="shared" si="7" ref="A181:A203">A180+1</f>
        <v>177</v>
      </c>
      <c r="B181" s="14" t="s">
        <v>259</v>
      </c>
      <c r="C181" s="9" t="s">
        <v>1366</v>
      </c>
      <c r="D181" s="8" t="s">
        <v>3192</v>
      </c>
      <c r="E181" s="37">
        <v>995979</v>
      </c>
      <c r="F181" s="7" t="s">
        <v>1418</v>
      </c>
      <c r="G181" s="7">
        <v>25</v>
      </c>
      <c r="H181" s="7" t="s">
        <v>1367</v>
      </c>
      <c r="I181" s="7" t="s">
        <v>1367</v>
      </c>
      <c r="J181" s="15" t="s">
        <v>1335</v>
      </c>
      <c r="K181" s="7" t="s">
        <v>2776</v>
      </c>
    </row>
    <row r="182" spans="1:11" s="5" customFormat="1" ht="25.5" customHeight="1">
      <c r="A182" s="14">
        <f t="shared" si="7"/>
        <v>178</v>
      </c>
      <c r="B182" s="14" t="s">
        <v>260</v>
      </c>
      <c r="C182" s="9" t="s">
        <v>1370</v>
      </c>
      <c r="D182" s="8" t="s">
        <v>1369</v>
      </c>
      <c r="E182" s="37">
        <v>89440</v>
      </c>
      <c r="F182" s="7" t="s">
        <v>623</v>
      </c>
      <c r="G182" s="7">
        <v>25</v>
      </c>
      <c r="H182" s="7" t="s">
        <v>1371</v>
      </c>
      <c r="I182" s="7" t="s">
        <v>1371</v>
      </c>
      <c r="J182" s="15" t="s">
        <v>1368</v>
      </c>
      <c r="K182" s="7" t="s">
        <v>2776</v>
      </c>
    </row>
    <row r="183" spans="1:11" s="5" customFormat="1" ht="38.25">
      <c r="A183" s="14">
        <f t="shared" si="7"/>
        <v>179</v>
      </c>
      <c r="B183" s="14" t="s">
        <v>261</v>
      </c>
      <c r="C183" s="9" t="s">
        <v>1309</v>
      </c>
      <c r="D183" s="8" t="s">
        <v>1374</v>
      </c>
      <c r="E183" s="37">
        <v>163300</v>
      </c>
      <c r="F183" s="7" t="s">
        <v>1418</v>
      </c>
      <c r="G183" s="7">
        <v>25</v>
      </c>
      <c r="H183" s="7" t="s">
        <v>1373</v>
      </c>
      <c r="I183" s="7" t="s">
        <v>1373</v>
      </c>
      <c r="J183" s="15" t="s">
        <v>1372</v>
      </c>
      <c r="K183" s="7" t="s">
        <v>2484</v>
      </c>
    </row>
    <row r="184" spans="1:11" s="5" customFormat="1" ht="25.5" customHeight="1">
      <c r="A184" s="14">
        <f t="shared" si="7"/>
        <v>180</v>
      </c>
      <c r="B184" s="14" t="s">
        <v>262</v>
      </c>
      <c r="C184" s="9" t="s">
        <v>1377</v>
      </c>
      <c r="D184" s="8" t="s">
        <v>1375</v>
      </c>
      <c r="E184" s="37">
        <v>500088</v>
      </c>
      <c r="F184" s="7" t="s">
        <v>3357</v>
      </c>
      <c r="G184" s="7">
        <v>25</v>
      </c>
      <c r="H184" s="7" t="s">
        <v>1376</v>
      </c>
      <c r="I184" s="7" t="s">
        <v>1376</v>
      </c>
      <c r="J184" s="8" t="s">
        <v>1378</v>
      </c>
      <c r="K184" s="10" t="s">
        <v>2484</v>
      </c>
    </row>
    <row r="185" spans="1:11" s="5" customFormat="1" ht="25.5">
      <c r="A185" s="14">
        <f t="shared" si="7"/>
        <v>181</v>
      </c>
      <c r="B185" s="14" t="s">
        <v>263</v>
      </c>
      <c r="C185" s="9" t="s">
        <v>1381</v>
      </c>
      <c r="D185" s="8" t="s">
        <v>1380</v>
      </c>
      <c r="E185" s="37">
        <v>59765</v>
      </c>
      <c r="F185" s="7" t="s">
        <v>3196</v>
      </c>
      <c r="G185" s="7">
        <v>15</v>
      </c>
      <c r="H185" s="7" t="s">
        <v>1382</v>
      </c>
      <c r="I185" s="7" t="s">
        <v>1382</v>
      </c>
      <c r="J185" s="15" t="s">
        <v>1379</v>
      </c>
      <c r="K185" s="7" t="s">
        <v>1167</v>
      </c>
    </row>
    <row r="186" spans="1:11" s="5" customFormat="1" ht="25.5">
      <c r="A186" s="14">
        <f t="shared" si="7"/>
        <v>182</v>
      </c>
      <c r="B186" s="14" t="s">
        <v>264</v>
      </c>
      <c r="C186" s="9" t="s">
        <v>210</v>
      </c>
      <c r="D186" s="8" t="s">
        <v>1384</v>
      </c>
      <c r="E186" s="37">
        <v>61038</v>
      </c>
      <c r="F186" s="7" t="s">
        <v>1341</v>
      </c>
      <c r="G186" s="7">
        <v>25</v>
      </c>
      <c r="H186" s="7" t="s">
        <v>1385</v>
      </c>
      <c r="I186" s="7" t="s">
        <v>1385</v>
      </c>
      <c r="J186" s="15" t="s">
        <v>1383</v>
      </c>
      <c r="K186" s="7" t="s">
        <v>3278</v>
      </c>
    </row>
    <row r="187" spans="1:11" s="5" customFormat="1" ht="25.5">
      <c r="A187" s="14">
        <f t="shared" si="7"/>
        <v>183</v>
      </c>
      <c r="B187" s="14" t="s">
        <v>1903</v>
      </c>
      <c r="C187" s="9" t="s">
        <v>2413</v>
      </c>
      <c r="D187" s="8" t="s">
        <v>1386</v>
      </c>
      <c r="E187" s="37">
        <v>184000</v>
      </c>
      <c r="F187" s="7" t="s">
        <v>3357</v>
      </c>
      <c r="G187" s="7">
        <v>25</v>
      </c>
      <c r="H187" s="7" t="s">
        <v>1387</v>
      </c>
      <c r="I187" s="3" t="s">
        <v>1303</v>
      </c>
      <c r="J187" s="8" t="s">
        <v>1388</v>
      </c>
      <c r="K187" s="10" t="s">
        <v>1167</v>
      </c>
    </row>
    <row r="188" spans="1:11" s="5" customFormat="1" ht="38.25">
      <c r="A188" s="14">
        <f t="shared" si="7"/>
        <v>184</v>
      </c>
      <c r="B188" s="14" t="s">
        <v>1905</v>
      </c>
      <c r="C188" s="9" t="s">
        <v>1395</v>
      </c>
      <c r="D188" s="8" t="s">
        <v>1394</v>
      </c>
      <c r="E188" s="37">
        <v>894257</v>
      </c>
      <c r="F188" s="7" t="s">
        <v>623</v>
      </c>
      <c r="G188" s="7">
        <v>25</v>
      </c>
      <c r="H188" s="7" t="s">
        <v>1396</v>
      </c>
      <c r="I188" s="7" t="s">
        <v>1396</v>
      </c>
      <c r="J188" s="15" t="s">
        <v>1807</v>
      </c>
      <c r="K188" s="7" t="s">
        <v>2484</v>
      </c>
    </row>
    <row r="189" spans="1:11" s="5" customFormat="1" ht="25.5">
      <c r="A189" s="14">
        <f t="shared" si="7"/>
        <v>185</v>
      </c>
      <c r="B189" s="14" t="s">
        <v>1906</v>
      </c>
      <c r="C189" s="9" t="s">
        <v>1401</v>
      </c>
      <c r="D189" s="8" t="s">
        <v>1398</v>
      </c>
      <c r="E189" s="37">
        <v>230300</v>
      </c>
      <c r="F189" s="7" t="s">
        <v>1341</v>
      </c>
      <c r="G189" s="7">
        <v>25</v>
      </c>
      <c r="H189" s="7" t="s">
        <v>1399</v>
      </c>
      <c r="I189" s="3" t="s">
        <v>1400</v>
      </c>
      <c r="J189" s="15" t="s">
        <v>1397</v>
      </c>
      <c r="K189" s="7" t="s">
        <v>2776</v>
      </c>
    </row>
    <row r="190" spans="1:11" s="5" customFormat="1" ht="38.25">
      <c r="A190" s="14">
        <f t="shared" si="7"/>
        <v>186</v>
      </c>
      <c r="B190" s="14" t="s">
        <v>1907</v>
      </c>
      <c r="C190" s="9" t="s">
        <v>1405</v>
      </c>
      <c r="D190" s="8" t="s">
        <v>1403</v>
      </c>
      <c r="E190" s="37">
        <v>241111</v>
      </c>
      <c r="F190" s="10" t="s">
        <v>1404</v>
      </c>
      <c r="G190" s="7">
        <v>15</v>
      </c>
      <c r="H190" s="7" t="s">
        <v>1406</v>
      </c>
      <c r="I190" s="7" t="s">
        <v>1406</v>
      </c>
      <c r="J190" s="15" t="s">
        <v>1402</v>
      </c>
      <c r="K190" s="7" t="s">
        <v>2576</v>
      </c>
    </row>
    <row r="191" spans="1:11" s="5" customFormat="1" ht="38.25">
      <c r="A191" s="14">
        <f t="shared" si="7"/>
        <v>187</v>
      </c>
      <c r="B191" s="14" t="s">
        <v>1908</v>
      </c>
      <c r="C191" s="9" t="s">
        <v>1409</v>
      </c>
      <c r="D191" s="8" t="s">
        <v>1408</v>
      </c>
      <c r="E191" s="37">
        <v>289089</v>
      </c>
      <c r="F191" s="7" t="s">
        <v>1581</v>
      </c>
      <c r="G191" s="7">
        <v>25</v>
      </c>
      <c r="H191" s="7" t="s">
        <v>1407</v>
      </c>
      <c r="I191" s="7" t="s">
        <v>1407</v>
      </c>
      <c r="J191" s="8" t="s">
        <v>1410</v>
      </c>
      <c r="K191" s="10" t="s">
        <v>1817</v>
      </c>
    </row>
    <row r="192" spans="1:11" s="5" customFormat="1" ht="25.5">
      <c r="A192" s="14">
        <f t="shared" si="7"/>
        <v>188</v>
      </c>
      <c r="B192" s="14" t="s">
        <v>1909</v>
      </c>
      <c r="C192" s="9" t="s">
        <v>2190</v>
      </c>
      <c r="D192" s="8" t="s">
        <v>2189</v>
      </c>
      <c r="E192" s="37">
        <v>32205</v>
      </c>
      <c r="F192" s="7" t="s">
        <v>1418</v>
      </c>
      <c r="G192" s="7">
        <v>25</v>
      </c>
      <c r="H192" s="7" t="s">
        <v>1407</v>
      </c>
      <c r="I192" s="7" t="s">
        <v>1407</v>
      </c>
      <c r="J192" s="8" t="s">
        <v>2191</v>
      </c>
      <c r="K192" s="10" t="s">
        <v>1817</v>
      </c>
    </row>
    <row r="193" spans="1:11" s="5" customFormat="1" ht="25.5" customHeight="1">
      <c r="A193" s="14">
        <f t="shared" si="7"/>
        <v>189</v>
      </c>
      <c r="B193" s="14" t="s">
        <v>1910</v>
      </c>
      <c r="C193" s="9" t="s">
        <v>420</v>
      </c>
      <c r="D193" s="8" t="s">
        <v>2193</v>
      </c>
      <c r="E193" s="37">
        <f>1.454*1000^2</f>
        <v>1454000</v>
      </c>
      <c r="F193" s="7" t="s">
        <v>699</v>
      </c>
      <c r="G193" s="7">
        <v>25</v>
      </c>
      <c r="H193" s="7" t="s">
        <v>2194</v>
      </c>
      <c r="I193" s="7" t="s">
        <v>2194</v>
      </c>
      <c r="J193" s="15" t="s">
        <v>2192</v>
      </c>
      <c r="K193" s="7" t="s">
        <v>1194</v>
      </c>
    </row>
    <row r="194" spans="1:11" s="5" customFormat="1" ht="25.5">
      <c r="A194" s="14">
        <f t="shared" si="7"/>
        <v>190</v>
      </c>
      <c r="B194" s="14" t="s">
        <v>1911</v>
      </c>
      <c r="C194" s="9" t="s">
        <v>2197</v>
      </c>
      <c r="D194" s="8" t="s">
        <v>2195</v>
      </c>
      <c r="E194" s="37">
        <v>74501</v>
      </c>
      <c r="F194" s="7" t="s">
        <v>2589</v>
      </c>
      <c r="G194" s="7">
        <v>25</v>
      </c>
      <c r="H194" s="7" t="s">
        <v>2196</v>
      </c>
      <c r="I194" s="7" t="s">
        <v>2196</v>
      </c>
      <c r="J194" s="8" t="s">
        <v>2198</v>
      </c>
      <c r="K194" s="10" t="s">
        <v>1817</v>
      </c>
    </row>
    <row r="195" spans="1:11" s="5" customFormat="1" ht="25.5">
      <c r="A195" s="14">
        <f t="shared" si="7"/>
        <v>191</v>
      </c>
      <c r="B195" s="14" t="s">
        <v>1912</v>
      </c>
      <c r="C195" s="9" t="s">
        <v>2201</v>
      </c>
      <c r="D195" s="8" t="s">
        <v>2200</v>
      </c>
      <c r="E195" s="37">
        <v>338915</v>
      </c>
      <c r="F195" s="7" t="s">
        <v>1418</v>
      </c>
      <c r="G195" s="7">
        <v>25</v>
      </c>
      <c r="H195" s="7" t="s">
        <v>1407</v>
      </c>
      <c r="I195" s="7" t="s">
        <v>1407</v>
      </c>
      <c r="J195" s="15" t="s">
        <v>2199</v>
      </c>
      <c r="K195" s="7" t="s">
        <v>1817</v>
      </c>
    </row>
    <row r="196" spans="1:11" s="5" customFormat="1" ht="25.5">
      <c r="A196" s="14">
        <f t="shared" si="7"/>
        <v>192</v>
      </c>
      <c r="B196" s="14" t="s">
        <v>1913</v>
      </c>
      <c r="C196" s="9" t="s">
        <v>2204</v>
      </c>
      <c r="D196" s="8" t="s">
        <v>2203</v>
      </c>
      <c r="E196" s="37">
        <v>183358</v>
      </c>
      <c r="F196" s="7" t="s">
        <v>1404</v>
      </c>
      <c r="G196" s="7">
        <v>25</v>
      </c>
      <c r="H196" s="7" t="s">
        <v>379</v>
      </c>
      <c r="I196" s="7" t="s">
        <v>379</v>
      </c>
      <c r="J196" s="15" t="s">
        <v>2202</v>
      </c>
      <c r="K196" s="7" t="s">
        <v>2838</v>
      </c>
    </row>
    <row r="197" spans="1:11" s="5" customFormat="1" ht="25.5">
      <c r="A197" s="14">
        <f t="shared" si="7"/>
        <v>193</v>
      </c>
      <c r="B197" s="14" t="s">
        <v>1284</v>
      </c>
      <c r="C197" s="9" t="s">
        <v>2207</v>
      </c>
      <c r="D197" s="8" t="s">
        <v>2206</v>
      </c>
      <c r="E197" s="37">
        <v>207625</v>
      </c>
      <c r="F197" s="7" t="s">
        <v>1774</v>
      </c>
      <c r="G197" s="7">
        <v>25</v>
      </c>
      <c r="H197" s="7" t="s">
        <v>1407</v>
      </c>
      <c r="I197" s="7" t="s">
        <v>1407</v>
      </c>
      <c r="J197" s="15" t="s">
        <v>2205</v>
      </c>
      <c r="K197" s="7" t="s">
        <v>1817</v>
      </c>
    </row>
    <row r="198" spans="1:11" s="5" customFormat="1" ht="25.5">
      <c r="A198" s="14">
        <f t="shared" si="7"/>
        <v>194</v>
      </c>
      <c r="B198" s="14" t="s">
        <v>1285</v>
      </c>
      <c r="C198" s="9" t="s">
        <v>2211</v>
      </c>
      <c r="D198" s="8" t="s">
        <v>2209</v>
      </c>
      <c r="E198" s="37">
        <v>232766</v>
      </c>
      <c r="F198" s="7" t="s">
        <v>1418</v>
      </c>
      <c r="G198" s="7">
        <v>25</v>
      </c>
      <c r="H198" s="7" t="s">
        <v>2210</v>
      </c>
      <c r="I198" s="7" t="s">
        <v>2210</v>
      </c>
      <c r="J198" s="15" t="s">
        <v>2208</v>
      </c>
      <c r="K198" s="7" t="s">
        <v>1823</v>
      </c>
    </row>
    <row r="199" spans="1:11" s="5" customFormat="1" ht="25.5">
      <c r="A199" s="14">
        <f t="shared" si="7"/>
        <v>195</v>
      </c>
      <c r="B199" s="14" t="s">
        <v>1286</v>
      </c>
      <c r="C199" s="9" t="s">
        <v>2215</v>
      </c>
      <c r="D199" s="8" t="s">
        <v>2213</v>
      </c>
      <c r="E199" s="37">
        <v>377448</v>
      </c>
      <c r="F199" s="7" t="s">
        <v>1418</v>
      </c>
      <c r="G199" s="7">
        <v>25</v>
      </c>
      <c r="H199" s="7" t="s">
        <v>2214</v>
      </c>
      <c r="I199" s="7" t="s">
        <v>2214</v>
      </c>
      <c r="J199" s="15" t="s">
        <v>2212</v>
      </c>
      <c r="K199" s="7" t="s">
        <v>1823</v>
      </c>
    </row>
    <row r="200" spans="1:11" s="5" customFormat="1" ht="25.5">
      <c r="A200" s="14">
        <f t="shared" si="7"/>
        <v>196</v>
      </c>
      <c r="B200" s="14" t="s">
        <v>1287</v>
      </c>
      <c r="C200" s="9" t="s">
        <v>1276</v>
      </c>
      <c r="D200" s="8" t="s">
        <v>2217</v>
      </c>
      <c r="E200" s="37">
        <v>204000</v>
      </c>
      <c r="F200" s="7" t="s">
        <v>2370</v>
      </c>
      <c r="G200" s="7">
        <v>25</v>
      </c>
      <c r="H200" s="7" t="s">
        <v>2218</v>
      </c>
      <c r="I200" s="7" t="s">
        <v>2218</v>
      </c>
      <c r="J200" s="15" t="s">
        <v>2216</v>
      </c>
      <c r="K200" s="7" t="s">
        <v>2880</v>
      </c>
    </row>
    <row r="201" spans="1:11" s="5" customFormat="1" ht="51">
      <c r="A201" s="14">
        <f t="shared" si="7"/>
        <v>197</v>
      </c>
      <c r="B201" s="14" t="s">
        <v>1288</v>
      </c>
      <c r="C201" s="9" t="s">
        <v>2222</v>
      </c>
      <c r="D201" s="8" t="s">
        <v>2220</v>
      </c>
      <c r="E201" s="37">
        <v>60000</v>
      </c>
      <c r="F201" s="7" t="s">
        <v>2219</v>
      </c>
      <c r="G201" s="7">
        <v>25</v>
      </c>
      <c r="H201" s="7" t="s">
        <v>1376</v>
      </c>
      <c r="I201" s="3" t="s">
        <v>2221</v>
      </c>
      <c r="J201" s="8" t="s">
        <v>2223</v>
      </c>
      <c r="K201" s="10" t="s">
        <v>2775</v>
      </c>
    </row>
    <row r="202" spans="1:11" s="5" customFormat="1" ht="25.5" customHeight="1">
      <c r="A202" s="14">
        <f t="shared" si="7"/>
        <v>198</v>
      </c>
      <c r="B202" s="14" t="s">
        <v>1289</v>
      </c>
      <c r="C202" s="9" t="s">
        <v>2226</v>
      </c>
      <c r="D202" s="8" t="s">
        <v>2225</v>
      </c>
      <c r="E202" s="37">
        <v>457408</v>
      </c>
      <c r="F202" s="7" t="s">
        <v>623</v>
      </c>
      <c r="G202" s="7">
        <v>25</v>
      </c>
      <c r="H202" s="7" t="s">
        <v>2214</v>
      </c>
      <c r="I202" s="7" t="s">
        <v>2214</v>
      </c>
      <c r="J202" s="15" t="s">
        <v>2224</v>
      </c>
      <c r="K202" s="7" t="s">
        <v>1823</v>
      </c>
    </row>
    <row r="203" spans="1:11" s="5" customFormat="1" ht="38.25">
      <c r="A203" s="14">
        <f t="shared" si="7"/>
        <v>199</v>
      </c>
      <c r="B203" s="14" t="s">
        <v>1290</v>
      </c>
      <c r="C203" s="9" t="s">
        <v>1940</v>
      </c>
      <c r="D203" s="8" t="s">
        <v>132</v>
      </c>
      <c r="E203" s="37">
        <f>0.568*1000^2</f>
        <v>568000</v>
      </c>
      <c r="F203" s="7" t="s">
        <v>2228</v>
      </c>
      <c r="G203" s="7">
        <v>25</v>
      </c>
      <c r="H203" s="7" t="s">
        <v>133</v>
      </c>
      <c r="I203" s="3" t="s">
        <v>2908</v>
      </c>
      <c r="J203" s="15" t="s">
        <v>2227</v>
      </c>
      <c r="K203" s="7" t="s">
        <v>2232</v>
      </c>
    </row>
    <row r="204" spans="1:11" s="5" customFormat="1" ht="38.25" customHeight="1">
      <c r="A204" s="14">
        <f aca="true" t="shared" si="8" ref="A204:A254">A203+1</f>
        <v>200</v>
      </c>
      <c r="B204" s="14" t="s">
        <v>1292</v>
      </c>
      <c r="C204" s="9" t="s">
        <v>142</v>
      </c>
      <c r="D204" s="8" t="s">
        <v>140</v>
      </c>
      <c r="E204" s="37">
        <v>316370</v>
      </c>
      <c r="F204" s="7" t="s">
        <v>232</v>
      </c>
      <c r="G204" s="7">
        <v>25</v>
      </c>
      <c r="H204" s="7" t="s">
        <v>141</v>
      </c>
      <c r="I204" s="7" t="s">
        <v>141</v>
      </c>
      <c r="J204" s="15" t="s">
        <v>139</v>
      </c>
      <c r="K204" s="7" t="s">
        <v>1753</v>
      </c>
    </row>
    <row r="205" spans="1:11" s="5" customFormat="1" ht="25.5">
      <c r="A205" s="14">
        <f t="shared" si="8"/>
        <v>201</v>
      </c>
      <c r="B205" s="14" t="s">
        <v>1294</v>
      </c>
      <c r="C205" s="9" t="s">
        <v>151</v>
      </c>
      <c r="D205" s="8" t="s">
        <v>150</v>
      </c>
      <c r="E205" s="37">
        <v>248500</v>
      </c>
      <c r="F205" s="7" t="s">
        <v>3357</v>
      </c>
      <c r="G205" s="7">
        <v>25</v>
      </c>
      <c r="H205" s="7" t="s">
        <v>149</v>
      </c>
      <c r="I205" s="7" t="s">
        <v>149</v>
      </c>
      <c r="J205" s="15" t="s">
        <v>147</v>
      </c>
      <c r="K205" s="7" t="s">
        <v>1722</v>
      </c>
    </row>
    <row r="206" spans="1:11" s="5" customFormat="1" ht="25.5">
      <c r="A206" s="14">
        <f t="shared" si="8"/>
        <v>202</v>
      </c>
      <c r="B206" s="14" t="s">
        <v>1295</v>
      </c>
      <c r="C206" s="9" t="s">
        <v>154</v>
      </c>
      <c r="D206" s="8" t="s">
        <v>153</v>
      </c>
      <c r="E206" s="37">
        <f>1.066*1000^2</f>
        <v>1066000</v>
      </c>
      <c r="F206" s="7" t="s">
        <v>3357</v>
      </c>
      <c r="G206" s="7">
        <v>25</v>
      </c>
      <c r="H206" s="7" t="s">
        <v>155</v>
      </c>
      <c r="I206" s="7" t="s">
        <v>155</v>
      </c>
      <c r="J206" s="15" t="s">
        <v>152</v>
      </c>
      <c r="K206" s="7" t="s">
        <v>607</v>
      </c>
    </row>
    <row r="207" spans="1:11" s="5" customFormat="1" ht="25.5">
      <c r="A207" s="14">
        <f t="shared" si="8"/>
        <v>203</v>
      </c>
      <c r="B207" s="14" t="s">
        <v>1296</v>
      </c>
      <c r="C207" s="9" t="s">
        <v>158</v>
      </c>
      <c r="D207" s="8" t="s">
        <v>157</v>
      </c>
      <c r="E207" s="37">
        <v>179000</v>
      </c>
      <c r="F207" s="7" t="s">
        <v>1619</v>
      </c>
      <c r="G207" s="7">
        <v>25</v>
      </c>
      <c r="H207" s="10" t="s">
        <v>3184</v>
      </c>
      <c r="I207" s="3" t="s">
        <v>3185</v>
      </c>
      <c r="J207" s="15" t="s">
        <v>156</v>
      </c>
      <c r="K207" s="7" t="s">
        <v>607</v>
      </c>
    </row>
    <row r="208" spans="1:11" s="5" customFormat="1" ht="38.25">
      <c r="A208" s="14">
        <f t="shared" si="8"/>
        <v>204</v>
      </c>
      <c r="B208" s="14" t="s">
        <v>1298</v>
      </c>
      <c r="C208" s="9" t="s">
        <v>3189</v>
      </c>
      <c r="D208" s="8" t="s">
        <v>3190</v>
      </c>
      <c r="E208" s="37">
        <v>327874</v>
      </c>
      <c r="F208" s="7" t="s">
        <v>1418</v>
      </c>
      <c r="G208" s="7">
        <v>25</v>
      </c>
      <c r="H208" s="7" t="s">
        <v>184</v>
      </c>
      <c r="I208" s="7" t="s">
        <v>184</v>
      </c>
      <c r="J208" s="8" t="s">
        <v>3188</v>
      </c>
      <c r="K208" s="7" t="s">
        <v>2830</v>
      </c>
    </row>
    <row r="209" spans="1:11" s="5" customFormat="1" ht="25.5" customHeight="1">
      <c r="A209" s="14">
        <f t="shared" si="8"/>
        <v>205</v>
      </c>
      <c r="B209" s="14" t="s">
        <v>2247</v>
      </c>
      <c r="C209" s="9" t="s">
        <v>1168</v>
      </c>
      <c r="D209" s="8" t="s">
        <v>2623</v>
      </c>
      <c r="E209" s="37">
        <v>179704</v>
      </c>
      <c r="F209" s="10" t="s">
        <v>2764</v>
      </c>
      <c r="G209" s="7">
        <v>25</v>
      </c>
      <c r="H209" s="7" t="s">
        <v>1170</v>
      </c>
      <c r="I209" s="7" t="s">
        <v>1170</v>
      </c>
      <c r="J209" s="15" t="s">
        <v>1990</v>
      </c>
      <c r="K209" s="7" t="s">
        <v>1169</v>
      </c>
    </row>
    <row r="210" spans="1:11" s="5" customFormat="1" ht="25.5">
      <c r="A210" s="14">
        <f t="shared" si="8"/>
        <v>206</v>
      </c>
      <c r="B210" s="14" t="s">
        <v>2245</v>
      </c>
      <c r="C210" s="9" t="s">
        <v>867</v>
      </c>
      <c r="D210" s="8" t="s">
        <v>2246</v>
      </c>
      <c r="E210" s="37">
        <v>246709</v>
      </c>
      <c r="F210" s="7" t="s">
        <v>2765</v>
      </c>
      <c r="G210" s="7">
        <v>5</v>
      </c>
      <c r="H210" s="7" t="s">
        <v>2486</v>
      </c>
      <c r="I210" s="7" t="s">
        <v>2486</v>
      </c>
      <c r="J210" s="8" t="s">
        <v>1991</v>
      </c>
      <c r="K210" s="7" t="s">
        <v>2485</v>
      </c>
    </row>
    <row r="211" spans="1:11" s="5" customFormat="1" ht="25.5">
      <c r="A211" s="14">
        <f t="shared" si="8"/>
        <v>207</v>
      </c>
      <c r="B211" s="14" t="s">
        <v>2248</v>
      </c>
      <c r="C211" s="9" t="s">
        <v>865</v>
      </c>
      <c r="D211" s="8" t="s">
        <v>2249</v>
      </c>
      <c r="E211" s="37">
        <v>103261</v>
      </c>
      <c r="F211" s="10" t="s">
        <v>2766</v>
      </c>
      <c r="G211" s="7">
        <v>25</v>
      </c>
      <c r="H211" s="7" t="s">
        <v>1199</v>
      </c>
      <c r="I211" s="7" t="s">
        <v>1199</v>
      </c>
      <c r="J211" s="15" t="s">
        <v>2008</v>
      </c>
      <c r="K211" s="7" t="s">
        <v>1198</v>
      </c>
    </row>
    <row r="212" spans="1:11" s="5" customFormat="1" ht="38.25">
      <c r="A212" s="14">
        <f t="shared" si="8"/>
        <v>208</v>
      </c>
      <c r="B212" s="14" t="s">
        <v>2250</v>
      </c>
      <c r="C212" s="9" t="s">
        <v>1723</v>
      </c>
      <c r="D212" s="8" t="s">
        <v>2251</v>
      </c>
      <c r="E212" s="37">
        <v>113116</v>
      </c>
      <c r="F212" s="7" t="s">
        <v>1774</v>
      </c>
      <c r="G212" s="7">
        <v>15</v>
      </c>
      <c r="H212" s="7" t="s">
        <v>1724</v>
      </c>
      <c r="I212" s="7" t="s">
        <v>1724</v>
      </c>
      <c r="J212" s="8" t="s">
        <v>2009</v>
      </c>
      <c r="K212" s="7" t="s">
        <v>1197</v>
      </c>
    </row>
    <row r="213" spans="1:11" s="5" customFormat="1" ht="38.25">
      <c r="A213" s="14">
        <f t="shared" si="8"/>
        <v>209</v>
      </c>
      <c r="B213" s="14" t="s">
        <v>2253</v>
      </c>
      <c r="C213" s="9" t="s">
        <v>1092</v>
      </c>
      <c r="D213" s="8" t="s">
        <v>2254</v>
      </c>
      <c r="E213" s="37">
        <v>77987</v>
      </c>
      <c r="F213" s="7" t="s">
        <v>1918</v>
      </c>
      <c r="G213" s="7">
        <v>25</v>
      </c>
      <c r="H213" s="7" t="s">
        <v>2882</v>
      </c>
      <c r="I213" s="7" t="s">
        <v>2883</v>
      </c>
      <c r="J213" s="8" t="s">
        <v>2010</v>
      </c>
      <c r="K213" s="7" t="s">
        <v>2881</v>
      </c>
    </row>
    <row r="214" spans="1:11" s="5" customFormat="1" ht="25.5">
      <c r="A214" s="14">
        <f t="shared" si="8"/>
        <v>210</v>
      </c>
      <c r="B214" s="14" t="s">
        <v>2255</v>
      </c>
      <c r="C214" s="9" t="s">
        <v>1370</v>
      </c>
      <c r="D214" s="8" t="s">
        <v>2256</v>
      </c>
      <c r="E214" s="37">
        <v>48988</v>
      </c>
      <c r="F214" s="7" t="s">
        <v>623</v>
      </c>
      <c r="G214" s="7">
        <v>10</v>
      </c>
      <c r="H214" s="7" t="s">
        <v>2788</v>
      </c>
      <c r="I214" s="7" t="s">
        <v>2789</v>
      </c>
      <c r="J214" s="8" t="s">
        <v>2011</v>
      </c>
      <c r="K214" s="7" t="s">
        <v>1169</v>
      </c>
    </row>
    <row r="215" spans="1:11" s="5" customFormat="1" ht="38.25">
      <c r="A215" s="14">
        <f t="shared" si="8"/>
        <v>211</v>
      </c>
      <c r="B215" s="14" t="s">
        <v>2258</v>
      </c>
      <c r="C215" s="9" t="s">
        <v>2781</v>
      </c>
      <c r="D215" s="8" t="s">
        <v>2257</v>
      </c>
      <c r="E215" s="37">
        <v>153815</v>
      </c>
      <c r="F215" s="7" t="s">
        <v>3357</v>
      </c>
      <c r="G215" s="7">
        <v>25</v>
      </c>
      <c r="H215" s="7" t="s">
        <v>2783</v>
      </c>
      <c r="I215" s="7" t="s">
        <v>2012</v>
      </c>
      <c r="J215" s="8" t="s">
        <v>2014</v>
      </c>
      <c r="K215" s="7" t="s">
        <v>2782</v>
      </c>
    </row>
    <row r="216" spans="1:11" s="5" customFormat="1" ht="25.5">
      <c r="A216" s="14">
        <f t="shared" si="8"/>
        <v>212</v>
      </c>
      <c r="B216" s="14" t="s">
        <v>2934</v>
      </c>
      <c r="C216" s="9" t="s">
        <v>2233</v>
      </c>
      <c r="D216" s="8" t="s">
        <v>2935</v>
      </c>
      <c r="E216" s="37">
        <v>216455</v>
      </c>
      <c r="F216" s="10" t="s">
        <v>2767</v>
      </c>
      <c r="G216" s="7">
        <v>25</v>
      </c>
      <c r="H216" s="7" t="s">
        <v>2235</v>
      </c>
      <c r="I216" s="7" t="s">
        <v>2235</v>
      </c>
      <c r="J216" s="8" t="s">
        <v>2015</v>
      </c>
      <c r="K216" s="7" t="s">
        <v>2234</v>
      </c>
    </row>
    <row r="217" spans="1:11" s="5" customFormat="1" ht="38.25">
      <c r="A217" s="14">
        <f t="shared" si="8"/>
        <v>213</v>
      </c>
      <c r="B217" s="14" t="s">
        <v>2936</v>
      </c>
      <c r="C217" s="9" t="s">
        <v>2503</v>
      </c>
      <c r="D217" s="8" t="s">
        <v>2937</v>
      </c>
      <c r="E217" s="37">
        <v>343504</v>
      </c>
      <c r="F217" s="7" t="s">
        <v>3357</v>
      </c>
      <c r="G217" s="7">
        <v>25</v>
      </c>
      <c r="H217" s="7" t="s">
        <v>2504</v>
      </c>
      <c r="I217" s="7" t="s">
        <v>2013</v>
      </c>
      <c r="J217" s="15" t="s">
        <v>2016</v>
      </c>
      <c r="K217" s="7" t="s">
        <v>1197</v>
      </c>
    </row>
    <row r="218" spans="1:11" s="5" customFormat="1" ht="25.5">
      <c r="A218" s="14">
        <f t="shared" si="8"/>
        <v>214</v>
      </c>
      <c r="B218" s="14" t="s">
        <v>2938</v>
      </c>
      <c r="C218" s="9" t="s">
        <v>2940</v>
      </c>
      <c r="D218" s="8" t="s">
        <v>2939</v>
      </c>
      <c r="E218" s="37">
        <v>169113</v>
      </c>
      <c r="F218" s="7" t="s">
        <v>3357</v>
      </c>
      <c r="G218" s="7">
        <v>25</v>
      </c>
      <c r="H218" s="7" t="s">
        <v>3247</v>
      </c>
      <c r="I218" s="7" t="s">
        <v>3247</v>
      </c>
      <c r="J218" s="15" t="s">
        <v>2017</v>
      </c>
      <c r="K218" s="7" t="s">
        <v>1197</v>
      </c>
    </row>
    <row r="219" spans="1:11" s="5" customFormat="1" ht="38.25">
      <c r="A219" s="14">
        <f t="shared" si="8"/>
        <v>215</v>
      </c>
      <c r="B219" s="14" t="s">
        <v>2941</v>
      </c>
      <c r="C219" s="9" t="s">
        <v>2843</v>
      </c>
      <c r="D219" s="8" t="s">
        <v>880</v>
      </c>
      <c r="E219" s="37">
        <v>116300</v>
      </c>
      <c r="F219" s="7" t="s">
        <v>3357</v>
      </c>
      <c r="G219" s="7">
        <v>25</v>
      </c>
      <c r="H219" s="7" t="s">
        <v>1815</v>
      </c>
      <c r="I219" s="7" t="s">
        <v>2845</v>
      </c>
      <c r="J219" s="15" t="s">
        <v>2018</v>
      </c>
      <c r="K219" s="7" t="s">
        <v>2844</v>
      </c>
    </row>
    <row r="220" spans="1:11" s="5" customFormat="1" ht="38.25">
      <c r="A220" s="14">
        <f t="shared" si="8"/>
        <v>216</v>
      </c>
      <c r="B220" s="14" t="s">
        <v>2942</v>
      </c>
      <c r="C220" s="9" t="s">
        <v>1754</v>
      </c>
      <c r="D220" s="8" t="s">
        <v>2943</v>
      </c>
      <c r="E220" s="37">
        <v>434595</v>
      </c>
      <c r="F220" s="7" t="s">
        <v>3357</v>
      </c>
      <c r="G220" s="7">
        <v>25</v>
      </c>
      <c r="H220" s="7" t="s">
        <v>1755</v>
      </c>
      <c r="I220" s="7" t="s">
        <v>1756</v>
      </c>
      <c r="J220" s="8" t="s">
        <v>2019</v>
      </c>
      <c r="K220" s="7" t="s">
        <v>1727</v>
      </c>
    </row>
    <row r="221" spans="1:11" s="5" customFormat="1" ht="25.5">
      <c r="A221" s="14">
        <f t="shared" si="8"/>
        <v>217</v>
      </c>
      <c r="B221" s="14" t="s">
        <v>2944</v>
      </c>
      <c r="C221" s="9" t="s">
        <v>2233</v>
      </c>
      <c r="D221" s="8" t="s">
        <v>2945</v>
      </c>
      <c r="E221" s="37">
        <v>131000</v>
      </c>
      <c r="F221" s="10" t="s">
        <v>1418</v>
      </c>
      <c r="G221" s="7">
        <v>25</v>
      </c>
      <c r="H221" s="7" t="s">
        <v>1815</v>
      </c>
      <c r="I221" s="7" t="s">
        <v>1533</v>
      </c>
      <c r="J221" s="8" t="s">
        <v>2020</v>
      </c>
      <c r="K221" s="7" t="s">
        <v>2844</v>
      </c>
    </row>
    <row r="222" spans="1:11" s="5" customFormat="1" ht="25.5">
      <c r="A222" s="14">
        <f t="shared" si="8"/>
        <v>218</v>
      </c>
      <c r="B222" s="14" t="s">
        <v>2946</v>
      </c>
      <c r="C222" s="9" t="s">
        <v>2841</v>
      </c>
      <c r="D222" s="8" t="s">
        <v>2947</v>
      </c>
      <c r="E222" s="37">
        <v>245356</v>
      </c>
      <c r="F222" s="10" t="s">
        <v>2768</v>
      </c>
      <c r="G222" s="7">
        <v>35</v>
      </c>
      <c r="H222" s="7" t="s">
        <v>2842</v>
      </c>
      <c r="I222" s="7" t="s">
        <v>2842</v>
      </c>
      <c r="J222" s="8" t="s">
        <v>2021</v>
      </c>
      <c r="K222" s="7" t="s">
        <v>2819</v>
      </c>
    </row>
    <row r="223" spans="1:11" s="5" customFormat="1" ht="25.5">
      <c r="A223" s="14">
        <f t="shared" si="8"/>
        <v>219</v>
      </c>
      <c r="B223" s="14" t="s">
        <v>2948</v>
      </c>
      <c r="C223" s="9" t="s">
        <v>2818</v>
      </c>
      <c r="D223" s="8" t="s">
        <v>2949</v>
      </c>
      <c r="E223" s="37">
        <v>249186</v>
      </c>
      <c r="F223" s="7" t="s">
        <v>3357</v>
      </c>
      <c r="G223" s="7">
        <v>35</v>
      </c>
      <c r="H223" s="7" t="s">
        <v>2820</v>
      </c>
      <c r="I223" s="7" t="s">
        <v>2821</v>
      </c>
      <c r="J223" s="8" t="s">
        <v>858</v>
      </c>
      <c r="K223" s="7" t="s">
        <v>2819</v>
      </c>
    </row>
    <row r="224" spans="1:11" s="5" customFormat="1" ht="38.25">
      <c r="A224" s="14">
        <f t="shared" si="8"/>
        <v>220</v>
      </c>
      <c r="B224" s="14" t="s">
        <v>2950</v>
      </c>
      <c r="C224" s="9" t="s">
        <v>2856</v>
      </c>
      <c r="D224" s="8" t="s">
        <v>2951</v>
      </c>
      <c r="E224" s="37">
        <v>76976</v>
      </c>
      <c r="F224" s="10" t="s">
        <v>3014</v>
      </c>
      <c r="G224" s="7">
        <v>15</v>
      </c>
      <c r="H224" s="7" t="s">
        <v>1755</v>
      </c>
      <c r="I224" s="7" t="s">
        <v>2858</v>
      </c>
      <c r="J224" s="8" t="s">
        <v>857</v>
      </c>
      <c r="K224" s="7" t="s">
        <v>2857</v>
      </c>
    </row>
    <row r="225" spans="1:11" s="5" customFormat="1" ht="25.5">
      <c r="A225" s="14">
        <f t="shared" si="8"/>
        <v>221</v>
      </c>
      <c r="B225" s="14" t="s">
        <v>2952</v>
      </c>
      <c r="C225" s="9" t="s">
        <v>1827</v>
      </c>
      <c r="D225" s="8" t="s">
        <v>2953</v>
      </c>
      <c r="E225" s="37">
        <v>241000</v>
      </c>
      <c r="F225" s="7" t="s">
        <v>3357</v>
      </c>
      <c r="G225" s="7">
        <v>35</v>
      </c>
      <c r="H225" s="7" t="s">
        <v>1728</v>
      </c>
      <c r="I225" s="7" t="s">
        <v>1829</v>
      </c>
      <c r="J225" s="15" t="s">
        <v>856</v>
      </c>
      <c r="K225" s="7" t="s">
        <v>1828</v>
      </c>
    </row>
    <row r="226" spans="1:11" s="5" customFormat="1" ht="38.25">
      <c r="A226" s="14">
        <f t="shared" si="8"/>
        <v>222</v>
      </c>
      <c r="B226" s="14" t="s">
        <v>2954</v>
      </c>
      <c r="C226" s="9" t="s">
        <v>1844</v>
      </c>
      <c r="D226" s="8" t="s">
        <v>2955</v>
      </c>
      <c r="E226" s="37">
        <v>306593</v>
      </c>
      <c r="F226" s="7" t="s">
        <v>623</v>
      </c>
      <c r="G226" s="7">
        <v>25</v>
      </c>
      <c r="H226" s="7" t="s">
        <v>2557</v>
      </c>
      <c r="I226" s="7" t="s">
        <v>2558</v>
      </c>
      <c r="J226" s="8" t="s">
        <v>855</v>
      </c>
      <c r="K226" s="7" t="s">
        <v>1727</v>
      </c>
    </row>
    <row r="227" spans="1:11" s="5" customFormat="1" ht="51">
      <c r="A227" s="14">
        <f t="shared" si="8"/>
        <v>223</v>
      </c>
      <c r="B227" s="14" t="s">
        <v>2956</v>
      </c>
      <c r="C227" s="9" t="s">
        <v>863</v>
      </c>
      <c r="D227" s="8" t="s">
        <v>2406</v>
      </c>
      <c r="E227" s="37">
        <v>485010</v>
      </c>
      <c r="F227" s="7" t="s">
        <v>1016</v>
      </c>
      <c r="G227" s="7">
        <v>25</v>
      </c>
      <c r="H227" s="7" t="s">
        <v>1755</v>
      </c>
      <c r="I227" s="7" t="s">
        <v>2884</v>
      </c>
      <c r="J227" s="8" t="s">
        <v>854</v>
      </c>
      <c r="K227" s="7" t="s">
        <v>2857</v>
      </c>
    </row>
    <row r="228" spans="1:11" s="5" customFormat="1" ht="25.5">
      <c r="A228" s="14">
        <f t="shared" si="8"/>
        <v>224</v>
      </c>
      <c r="B228" s="14" t="s">
        <v>2407</v>
      </c>
      <c r="C228" s="9" t="s">
        <v>2229</v>
      </c>
      <c r="D228" s="8" t="s">
        <v>2408</v>
      </c>
      <c r="E228" s="37">
        <v>175000</v>
      </c>
      <c r="F228" s="7" t="s">
        <v>1418</v>
      </c>
      <c r="G228" s="7">
        <v>25</v>
      </c>
      <c r="H228" s="7" t="s">
        <v>2791</v>
      </c>
      <c r="I228" s="7" t="s">
        <v>2236</v>
      </c>
      <c r="J228" s="8" t="s">
        <v>853</v>
      </c>
      <c r="K228" s="7" t="s">
        <v>1727</v>
      </c>
    </row>
    <row r="229" spans="1:11" s="5" customFormat="1" ht="38.25">
      <c r="A229" s="14">
        <f t="shared" si="8"/>
        <v>225</v>
      </c>
      <c r="B229" s="14" t="s">
        <v>2409</v>
      </c>
      <c r="C229" s="9" t="s">
        <v>2864</v>
      </c>
      <c r="D229" s="8" t="s">
        <v>2410</v>
      </c>
      <c r="E229" s="37">
        <v>160586</v>
      </c>
      <c r="F229" s="7" t="s">
        <v>3357</v>
      </c>
      <c r="G229" s="7">
        <v>10</v>
      </c>
      <c r="H229" s="7" t="s">
        <v>3247</v>
      </c>
      <c r="I229" s="7" t="s">
        <v>3247</v>
      </c>
      <c r="J229" s="8" t="s">
        <v>852</v>
      </c>
      <c r="K229" s="7" t="s">
        <v>1725</v>
      </c>
    </row>
    <row r="230" spans="1:11" s="5" customFormat="1" ht="38.25">
      <c r="A230" s="14">
        <f t="shared" si="8"/>
        <v>226</v>
      </c>
      <c r="B230" s="14" t="s">
        <v>2411</v>
      </c>
      <c r="C230" s="9" t="s">
        <v>1196</v>
      </c>
      <c r="D230" s="8" t="s">
        <v>2412</v>
      </c>
      <c r="E230" s="37">
        <v>384550</v>
      </c>
      <c r="F230" s="10" t="s">
        <v>2769</v>
      </c>
      <c r="G230" s="7">
        <v>25</v>
      </c>
      <c r="H230" s="7" t="s">
        <v>3247</v>
      </c>
      <c r="I230" s="7" t="s">
        <v>3247</v>
      </c>
      <c r="J230" s="8" t="s">
        <v>851</v>
      </c>
      <c r="K230" s="7" t="s">
        <v>1197</v>
      </c>
    </row>
    <row r="231" spans="1:11" s="5" customFormat="1" ht="25.5">
      <c r="A231" s="14">
        <f t="shared" si="8"/>
        <v>227</v>
      </c>
      <c r="B231" s="14" t="s">
        <v>2414</v>
      </c>
      <c r="C231" s="9" t="s">
        <v>1723</v>
      </c>
      <c r="D231" s="8" t="s">
        <v>2415</v>
      </c>
      <c r="E231" s="37">
        <v>173582</v>
      </c>
      <c r="F231" s="7" t="s">
        <v>1774</v>
      </c>
      <c r="G231" s="7">
        <v>25</v>
      </c>
      <c r="H231" s="7" t="s">
        <v>1724</v>
      </c>
      <c r="I231" s="7" t="s">
        <v>1724</v>
      </c>
      <c r="J231" s="8" t="s">
        <v>850</v>
      </c>
      <c r="K231" s="7" t="s">
        <v>1725</v>
      </c>
    </row>
    <row r="232" spans="1:11" s="5" customFormat="1" ht="38.25">
      <c r="A232" s="14">
        <f t="shared" si="8"/>
        <v>228</v>
      </c>
      <c r="B232" s="14" t="s">
        <v>2416</v>
      </c>
      <c r="C232" s="9" t="s">
        <v>860</v>
      </c>
      <c r="D232" s="8" t="s">
        <v>2417</v>
      </c>
      <c r="E232" s="37">
        <v>346597</v>
      </c>
      <c r="F232" s="10" t="s">
        <v>2770</v>
      </c>
      <c r="G232" s="7">
        <v>25</v>
      </c>
      <c r="H232" s="7" t="s">
        <v>1846</v>
      </c>
      <c r="I232" s="7" t="s">
        <v>2556</v>
      </c>
      <c r="J232" s="15" t="s">
        <v>849</v>
      </c>
      <c r="K232" s="7" t="s">
        <v>1845</v>
      </c>
    </row>
    <row r="233" spans="1:11" s="5" customFormat="1" ht="38.25">
      <c r="A233" s="14">
        <f t="shared" si="8"/>
        <v>229</v>
      </c>
      <c r="B233" s="14" t="s">
        <v>2418</v>
      </c>
      <c r="C233" s="9" t="s">
        <v>1723</v>
      </c>
      <c r="D233" s="8" t="s">
        <v>2419</v>
      </c>
      <c r="E233" s="37">
        <v>68474</v>
      </c>
      <c r="F233" s="7" t="s">
        <v>1774</v>
      </c>
      <c r="G233" s="7">
        <v>25</v>
      </c>
      <c r="H233" s="7" t="s">
        <v>1724</v>
      </c>
      <c r="I233" s="7" t="s">
        <v>1724</v>
      </c>
      <c r="J233" s="8" t="s">
        <v>848</v>
      </c>
      <c r="K233" s="7" t="s">
        <v>1197</v>
      </c>
    </row>
    <row r="234" spans="1:11" s="5" customFormat="1" ht="51">
      <c r="A234" s="14">
        <f t="shared" si="8"/>
        <v>230</v>
      </c>
      <c r="B234" s="14" t="s">
        <v>2420</v>
      </c>
      <c r="C234" s="9" t="s">
        <v>449</v>
      </c>
      <c r="D234" s="8" t="s">
        <v>2421</v>
      </c>
      <c r="E234" s="37">
        <v>889739</v>
      </c>
      <c r="F234" s="7" t="s">
        <v>1581</v>
      </c>
      <c r="G234" s="7">
        <v>25</v>
      </c>
      <c r="H234" s="7" t="s">
        <v>2791</v>
      </c>
      <c r="I234" s="7" t="s">
        <v>2791</v>
      </c>
      <c r="J234" s="15" t="s">
        <v>847</v>
      </c>
      <c r="K234" s="7" t="s">
        <v>2790</v>
      </c>
    </row>
    <row r="235" spans="1:11" s="5" customFormat="1" ht="38.25">
      <c r="A235" s="14">
        <f t="shared" si="8"/>
        <v>231</v>
      </c>
      <c r="B235" s="14" t="s">
        <v>1584</v>
      </c>
      <c r="C235" s="9" t="s">
        <v>1726</v>
      </c>
      <c r="D235" s="8" t="s">
        <v>1585</v>
      </c>
      <c r="E235" s="37">
        <v>402917</v>
      </c>
      <c r="F235" s="7" t="s">
        <v>1774</v>
      </c>
      <c r="G235" s="7">
        <v>25</v>
      </c>
      <c r="H235" s="7" t="s">
        <v>1728</v>
      </c>
      <c r="I235" s="7" t="s">
        <v>312</v>
      </c>
      <c r="J235" s="15" t="s">
        <v>846</v>
      </c>
      <c r="K235" s="7" t="s">
        <v>1727</v>
      </c>
    </row>
    <row r="236" spans="1:11" s="5" customFormat="1" ht="38.25">
      <c r="A236" s="14">
        <f t="shared" si="8"/>
        <v>232</v>
      </c>
      <c r="B236" s="14" t="s">
        <v>1586</v>
      </c>
      <c r="C236" s="9" t="s">
        <v>2865</v>
      </c>
      <c r="D236" s="8" t="s">
        <v>1587</v>
      </c>
      <c r="E236" s="37">
        <v>51877</v>
      </c>
      <c r="F236" s="7" t="s">
        <v>3357</v>
      </c>
      <c r="G236" s="7">
        <v>35</v>
      </c>
      <c r="H236" s="7" t="s">
        <v>2867</v>
      </c>
      <c r="I236" s="7" t="s">
        <v>312</v>
      </c>
      <c r="J236" s="15" t="s">
        <v>845</v>
      </c>
      <c r="K236" s="7" t="s">
        <v>2866</v>
      </c>
    </row>
    <row r="237" spans="1:11" s="5" customFormat="1" ht="51">
      <c r="A237" s="14">
        <f t="shared" si="8"/>
        <v>233</v>
      </c>
      <c r="B237" s="14" t="s">
        <v>1588</v>
      </c>
      <c r="C237" s="9" t="s">
        <v>1757</v>
      </c>
      <c r="D237" s="8" t="s">
        <v>1589</v>
      </c>
      <c r="E237" s="37">
        <v>288377</v>
      </c>
      <c r="F237" s="7" t="s">
        <v>1016</v>
      </c>
      <c r="G237" s="7">
        <v>25</v>
      </c>
      <c r="H237" s="7" t="s">
        <v>1759</v>
      </c>
      <c r="I237" s="7" t="s">
        <v>312</v>
      </c>
      <c r="J237" s="8" t="s">
        <v>844</v>
      </c>
      <c r="K237" s="7" t="s">
        <v>1758</v>
      </c>
    </row>
    <row r="238" spans="1:11" s="5" customFormat="1" ht="25.5">
      <c r="A238" s="14">
        <f t="shared" si="8"/>
        <v>234</v>
      </c>
      <c r="B238" s="14" t="s">
        <v>1590</v>
      </c>
      <c r="C238" s="9" t="s">
        <v>2237</v>
      </c>
      <c r="D238" s="8" t="s">
        <v>1591</v>
      </c>
      <c r="E238" s="37">
        <v>362662</v>
      </c>
      <c r="F238" s="7" t="s">
        <v>1774</v>
      </c>
      <c r="G238" s="7">
        <v>35</v>
      </c>
      <c r="H238" s="7" t="s">
        <v>2238</v>
      </c>
      <c r="I238" s="7" t="s">
        <v>312</v>
      </c>
      <c r="J238" s="8" t="s">
        <v>843</v>
      </c>
      <c r="K238" s="7" t="s">
        <v>2574</v>
      </c>
    </row>
    <row r="239" spans="1:11" s="5" customFormat="1" ht="38.25">
      <c r="A239" s="14">
        <f t="shared" si="8"/>
        <v>235</v>
      </c>
      <c r="B239" s="14" t="s">
        <v>1592</v>
      </c>
      <c r="C239" s="9" t="s">
        <v>2573</v>
      </c>
      <c r="D239" s="8" t="s">
        <v>1593</v>
      </c>
      <c r="E239" s="37">
        <v>233215</v>
      </c>
      <c r="F239" s="7" t="s">
        <v>1016</v>
      </c>
      <c r="G239" s="7">
        <v>15</v>
      </c>
      <c r="H239" s="7" t="s">
        <v>2575</v>
      </c>
      <c r="I239" s="7" t="s">
        <v>312</v>
      </c>
      <c r="J239" s="15" t="s">
        <v>842</v>
      </c>
      <c r="K239" s="7" t="s">
        <v>2574</v>
      </c>
    </row>
    <row r="240" spans="1:11" s="5" customFormat="1" ht="38.25">
      <c r="A240" s="14">
        <f t="shared" si="8"/>
        <v>236</v>
      </c>
      <c r="B240" s="14" t="s">
        <v>1594</v>
      </c>
      <c r="C240" s="9" t="s">
        <v>2792</v>
      </c>
      <c r="D240" s="8" t="s">
        <v>1595</v>
      </c>
      <c r="E240" s="37">
        <v>46155</v>
      </c>
      <c r="F240" s="7" t="s">
        <v>3357</v>
      </c>
      <c r="G240" s="7">
        <v>25</v>
      </c>
      <c r="H240" s="7" t="s">
        <v>2793</v>
      </c>
      <c r="I240" s="7" t="s">
        <v>312</v>
      </c>
      <c r="J240" s="8" t="s">
        <v>841</v>
      </c>
      <c r="K240" s="7" t="s">
        <v>2141</v>
      </c>
    </row>
    <row r="241" spans="1:11" s="5" customFormat="1" ht="51">
      <c r="A241" s="14">
        <f t="shared" si="8"/>
        <v>237</v>
      </c>
      <c r="B241" s="14" t="s">
        <v>1596</v>
      </c>
      <c r="C241" s="9" t="s">
        <v>448</v>
      </c>
      <c r="D241" s="8" t="s">
        <v>1597</v>
      </c>
      <c r="E241" s="37">
        <v>248614</v>
      </c>
      <c r="F241" s="10" t="s">
        <v>1341</v>
      </c>
      <c r="G241" s="7">
        <v>35</v>
      </c>
      <c r="H241" s="7" t="s">
        <v>2794</v>
      </c>
      <c r="I241" s="7" t="s">
        <v>312</v>
      </c>
      <c r="J241" s="8" t="s">
        <v>840</v>
      </c>
      <c r="K241" s="7" t="s">
        <v>1760</v>
      </c>
    </row>
    <row r="242" spans="1:11" s="5" customFormat="1" ht="25.5">
      <c r="A242" s="14">
        <f t="shared" si="8"/>
        <v>238</v>
      </c>
      <c r="B242" s="14" t="s">
        <v>1598</v>
      </c>
      <c r="C242" s="9" t="s">
        <v>2229</v>
      </c>
      <c r="D242" s="8" t="s">
        <v>1599</v>
      </c>
      <c r="E242" s="37">
        <v>203694</v>
      </c>
      <c r="F242" s="10" t="s">
        <v>699</v>
      </c>
      <c r="G242" s="7">
        <v>25</v>
      </c>
      <c r="H242" s="7" t="s">
        <v>2239</v>
      </c>
      <c r="I242" s="7" t="s">
        <v>312</v>
      </c>
      <c r="J242" s="8" t="s">
        <v>839</v>
      </c>
      <c r="K242" s="7" t="s">
        <v>2819</v>
      </c>
    </row>
    <row r="243" spans="1:11" s="5" customFormat="1" ht="25.5">
      <c r="A243" s="14">
        <f t="shared" si="8"/>
        <v>239</v>
      </c>
      <c r="B243" s="14" t="s">
        <v>1600</v>
      </c>
      <c r="C243" s="9" t="s">
        <v>2822</v>
      </c>
      <c r="D243" s="8" t="s">
        <v>1601</v>
      </c>
      <c r="E243" s="37">
        <v>222213</v>
      </c>
      <c r="F243" s="7" t="s">
        <v>3357</v>
      </c>
      <c r="G243" s="7">
        <v>25</v>
      </c>
      <c r="H243" s="7" t="s">
        <v>2823</v>
      </c>
      <c r="I243" s="7" t="s">
        <v>1750</v>
      </c>
      <c r="J243" s="8" t="s">
        <v>838</v>
      </c>
      <c r="K243" s="7" t="s">
        <v>1814</v>
      </c>
    </row>
    <row r="244" spans="1:11" s="5" customFormat="1" ht="25.5">
      <c r="A244" s="14">
        <f t="shared" si="8"/>
        <v>240</v>
      </c>
      <c r="B244" s="14" t="s">
        <v>1602</v>
      </c>
      <c r="C244" s="9" t="s">
        <v>867</v>
      </c>
      <c r="D244" s="8" t="s">
        <v>1603</v>
      </c>
      <c r="E244" s="37">
        <v>143400</v>
      </c>
      <c r="F244" s="7" t="s">
        <v>2765</v>
      </c>
      <c r="G244" s="7">
        <v>5</v>
      </c>
      <c r="H244" s="7" t="s">
        <v>2488</v>
      </c>
      <c r="I244" s="7" t="s">
        <v>312</v>
      </c>
      <c r="J244" s="15" t="s">
        <v>837</v>
      </c>
      <c r="K244" s="7" t="s">
        <v>2487</v>
      </c>
    </row>
    <row r="245" spans="1:11" s="5" customFormat="1" ht="63.75">
      <c r="A245" s="14">
        <f t="shared" si="8"/>
        <v>241</v>
      </c>
      <c r="B245" s="14" t="s">
        <v>1604</v>
      </c>
      <c r="C245" s="9" t="s">
        <v>1171</v>
      </c>
      <c r="D245" s="8" t="s">
        <v>1605</v>
      </c>
      <c r="E245" s="37">
        <v>144002</v>
      </c>
      <c r="F245" s="7" t="s">
        <v>1016</v>
      </c>
      <c r="G245" s="7">
        <v>25</v>
      </c>
      <c r="H245" s="7" t="s">
        <v>1173</v>
      </c>
      <c r="I245" s="7" t="s">
        <v>312</v>
      </c>
      <c r="J245" s="15" t="s">
        <v>836</v>
      </c>
      <c r="K245" s="7" t="s">
        <v>1172</v>
      </c>
    </row>
    <row r="246" spans="1:11" s="5" customFormat="1" ht="63.75">
      <c r="A246" s="14">
        <f t="shared" si="8"/>
        <v>242</v>
      </c>
      <c r="B246" s="14" t="s">
        <v>1606</v>
      </c>
      <c r="C246" s="9" t="s">
        <v>1754</v>
      </c>
      <c r="D246" s="8" t="s">
        <v>333</v>
      </c>
      <c r="E246" s="37">
        <v>110617</v>
      </c>
      <c r="F246" s="7" t="s">
        <v>3357</v>
      </c>
      <c r="G246" s="7">
        <v>25</v>
      </c>
      <c r="H246" s="7" t="s">
        <v>1761</v>
      </c>
      <c r="I246" s="7" t="s">
        <v>312</v>
      </c>
      <c r="J246" s="15" t="s">
        <v>835</v>
      </c>
      <c r="K246" s="7" t="s">
        <v>1760</v>
      </c>
    </row>
    <row r="247" spans="1:11" s="5" customFormat="1" ht="25.5">
      <c r="A247" s="14">
        <f t="shared" si="8"/>
        <v>243</v>
      </c>
      <c r="B247" s="14" t="s">
        <v>334</v>
      </c>
      <c r="C247" s="9" t="s">
        <v>2831</v>
      </c>
      <c r="D247" s="8" t="s">
        <v>335</v>
      </c>
      <c r="E247" s="37">
        <v>127625</v>
      </c>
      <c r="F247" s="7" t="s">
        <v>1418</v>
      </c>
      <c r="G247" s="7">
        <v>35</v>
      </c>
      <c r="H247" s="7" t="s">
        <v>2832</v>
      </c>
      <c r="I247" s="7" t="s">
        <v>312</v>
      </c>
      <c r="J247" s="8" t="s">
        <v>834</v>
      </c>
      <c r="K247" s="7" t="s">
        <v>2141</v>
      </c>
    </row>
    <row r="248" spans="1:11" s="5" customFormat="1" ht="38.25">
      <c r="A248" s="14">
        <f t="shared" si="8"/>
        <v>244</v>
      </c>
      <c r="B248" s="14" t="s">
        <v>336</v>
      </c>
      <c r="C248" s="9" t="s">
        <v>2240</v>
      </c>
      <c r="D248" s="8" t="s">
        <v>337</v>
      </c>
      <c r="E248" s="37">
        <v>183521</v>
      </c>
      <c r="F248" s="7" t="s">
        <v>1316</v>
      </c>
      <c r="G248" s="7">
        <v>35</v>
      </c>
      <c r="H248" s="7" t="s">
        <v>2241</v>
      </c>
      <c r="I248" s="7" t="s">
        <v>312</v>
      </c>
      <c r="J248" s="8" t="s">
        <v>833</v>
      </c>
      <c r="K248" s="7" t="s">
        <v>1760</v>
      </c>
    </row>
    <row r="249" spans="1:11" s="5" customFormat="1" ht="25.5">
      <c r="A249" s="14">
        <f t="shared" si="8"/>
        <v>245</v>
      </c>
      <c r="B249" s="14" t="s">
        <v>338</v>
      </c>
      <c r="C249" s="9" t="s">
        <v>1200</v>
      </c>
      <c r="D249" s="8" t="s">
        <v>339</v>
      </c>
      <c r="E249" s="37">
        <v>152599</v>
      </c>
      <c r="F249" s="7" t="s">
        <v>1774</v>
      </c>
      <c r="G249" s="7">
        <v>35</v>
      </c>
      <c r="H249" s="7" t="s">
        <v>1202</v>
      </c>
      <c r="I249" s="7" t="s">
        <v>312</v>
      </c>
      <c r="J249" s="8" t="s">
        <v>832</v>
      </c>
      <c r="K249" s="7" t="s">
        <v>1201</v>
      </c>
    </row>
    <row r="250" spans="1:11" s="5" customFormat="1" ht="38.25">
      <c r="A250" s="14">
        <f t="shared" si="8"/>
        <v>246</v>
      </c>
      <c r="B250" s="14" t="s">
        <v>340</v>
      </c>
      <c r="C250" s="9" t="s">
        <v>2777</v>
      </c>
      <c r="D250" s="8" t="s">
        <v>341</v>
      </c>
      <c r="E250" s="37">
        <v>229386</v>
      </c>
      <c r="F250" s="7" t="s">
        <v>1418</v>
      </c>
      <c r="G250" s="7">
        <v>35</v>
      </c>
      <c r="H250" s="7" t="s">
        <v>2779</v>
      </c>
      <c r="I250" s="7" t="s">
        <v>312</v>
      </c>
      <c r="J250" s="8" t="s">
        <v>2745</v>
      </c>
      <c r="K250" s="7" t="s">
        <v>2778</v>
      </c>
    </row>
    <row r="251" spans="1:11" s="5" customFormat="1" ht="38.25">
      <c r="A251" s="14">
        <f t="shared" si="8"/>
        <v>247</v>
      </c>
      <c r="B251" s="14" t="s">
        <v>342</v>
      </c>
      <c r="C251" s="9" t="s">
        <v>2831</v>
      </c>
      <c r="D251" s="8" t="s">
        <v>343</v>
      </c>
      <c r="E251" s="37">
        <v>208798</v>
      </c>
      <c r="F251" s="7" t="s">
        <v>2763</v>
      </c>
      <c r="G251" s="7">
        <v>35</v>
      </c>
      <c r="H251" s="7" t="s">
        <v>2834</v>
      </c>
      <c r="I251" s="7" t="s">
        <v>312</v>
      </c>
      <c r="J251" s="15" t="s">
        <v>831</v>
      </c>
      <c r="K251" s="7" t="s">
        <v>2833</v>
      </c>
    </row>
    <row r="252" spans="1:11" s="5" customFormat="1" ht="38.25">
      <c r="A252" s="14">
        <f t="shared" si="8"/>
        <v>248</v>
      </c>
      <c r="B252" s="14" t="s">
        <v>344</v>
      </c>
      <c r="C252" s="9" t="s">
        <v>2885</v>
      </c>
      <c r="D252" s="8" t="s">
        <v>345</v>
      </c>
      <c r="E252" s="37">
        <v>248031</v>
      </c>
      <c r="F252" s="7" t="s">
        <v>2771</v>
      </c>
      <c r="G252" s="7">
        <v>35</v>
      </c>
      <c r="H252" s="7" t="s">
        <v>2886</v>
      </c>
      <c r="I252" s="7" t="s">
        <v>312</v>
      </c>
      <c r="J252" s="8" t="s">
        <v>830</v>
      </c>
      <c r="K252" s="7" t="s">
        <v>2847</v>
      </c>
    </row>
    <row r="253" spans="1:11" s="5" customFormat="1" ht="38.25">
      <c r="A253" s="14">
        <f t="shared" si="8"/>
        <v>249</v>
      </c>
      <c r="B253" s="14" t="s">
        <v>348</v>
      </c>
      <c r="C253" s="9" t="s">
        <v>862</v>
      </c>
      <c r="D253" s="8" t="s">
        <v>349</v>
      </c>
      <c r="E253" s="37">
        <v>243786</v>
      </c>
      <c r="F253" s="7" t="s">
        <v>1418</v>
      </c>
      <c r="G253" s="7">
        <v>35</v>
      </c>
      <c r="H253" s="7" t="s">
        <v>2834</v>
      </c>
      <c r="I253" s="7" t="s">
        <v>312</v>
      </c>
      <c r="J253" s="8" t="s">
        <v>829</v>
      </c>
      <c r="K253" s="7" t="s">
        <v>2242</v>
      </c>
    </row>
    <row r="254" spans="1:11" s="5" customFormat="1" ht="38.25">
      <c r="A254" s="14">
        <f t="shared" si="8"/>
        <v>250</v>
      </c>
      <c r="B254" s="14" t="s">
        <v>350</v>
      </c>
      <c r="C254" s="9" t="s">
        <v>447</v>
      </c>
      <c r="D254" s="8" t="s">
        <v>351</v>
      </c>
      <c r="E254" s="37">
        <v>808497</v>
      </c>
      <c r="F254" s="10" t="s">
        <v>692</v>
      </c>
      <c r="G254" s="7">
        <v>35</v>
      </c>
      <c r="H254" s="7" t="s">
        <v>2795</v>
      </c>
      <c r="I254" s="7" t="s">
        <v>312</v>
      </c>
      <c r="J254" s="15" t="s">
        <v>828</v>
      </c>
      <c r="K254" s="7" t="s">
        <v>2487</v>
      </c>
    </row>
    <row r="255" spans="1:11" s="5" customFormat="1" ht="51">
      <c r="A255" s="14">
        <f aca="true" t="shared" si="9" ref="A255:A287">A254+1</f>
        <v>251</v>
      </c>
      <c r="B255" s="14" t="s">
        <v>352</v>
      </c>
      <c r="C255" s="9" t="s">
        <v>859</v>
      </c>
      <c r="D255" s="8" t="s">
        <v>353</v>
      </c>
      <c r="E255" s="37">
        <v>398674</v>
      </c>
      <c r="F255" s="7" t="s">
        <v>1774</v>
      </c>
      <c r="G255" s="7">
        <v>35</v>
      </c>
      <c r="H255" s="7" t="s">
        <v>2560</v>
      </c>
      <c r="I255" s="7" t="s">
        <v>312</v>
      </c>
      <c r="J255" s="15" t="s">
        <v>827</v>
      </c>
      <c r="K255" s="7" t="s">
        <v>2559</v>
      </c>
    </row>
    <row r="256" spans="1:11" s="5" customFormat="1" ht="38.25">
      <c r="A256" s="14">
        <f t="shared" si="9"/>
        <v>252</v>
      </c>
      <c r="B256" s="14" t="s">
        <v>355</v>
      </c>
      <c r="C256" s="9" t="s">
        <v>1731</v>
      </c>
      <c r="D256" s="8" t="s">
        <v>356</v>
      </c>
      <c r="E256" s="37">
        <v>17281</v>
      </c>
      <c r="F256" s="7" t="s">
        <v>1774</v>
      </c>
      <c r="G256" s="7">
        <v>25</v>
      </c>
      <c r="H256" s="7" t="s">
        <v>1733</v>
      </c>
      <c r="I256" s="7" t="s">
        <v>312</v>
      </c>
      <c r="J256" s="8" t="s">
        <v>826</v>
      </c>
      <c r="K256" s="7" t="s">
        <v>1732</v>
      </c>
    </row>
    <row r="257" spans="1:11" s="5" customFormat="1" ht="38.25">
      <c r="A257" s="14">
        <f t="shared" si="9"/>
        <v>253</v>
      </c>
      <c r="B257" s="14" t="s">
        <v>357</v>
      </c>
      <c r="C257" s="9" t="s">
        <v>1164</v>
      </c>
      <c r="D257" s="8" t="s">
        <v>358</v>
      </c>
      <c r="E257" s="37">
        <v>326658</v>
      </c>
      <c r="F257" s="7" t="s">
        <v>1316</v>
      </c>
      <c r="G257" s="7">
        <v>35</v>
      </c>
      <c r="H257" s="7" t="s">
        <v>1175</v>
      </c>
      <c r="I257" s="7" t="s">
        <v>312</v>
      </c>
      <c r="J257" s="15" t="s">
        <v>825</v>
      </c>
      <c r="K257" s="7" t="s">
        <v>1174</v>
      </c>
    </row>
    <row r="258" spans="1:11" s="5" customFormat="1" ht="38.25">
      <c r="A258" s="14">
        <f t="shared" si="9"/>
        <v>254</v>
      </c>
      <c r="B258" s="14" t="s">
        <v>359</v>
      </c>
      <c r="C258" s="9" t="s">
        <v>2561</v>
      </c>
      <c r="D258" s="8" t="s">
        <v>360</v>
      </c>
      <c r="E258" s="37">
        <v>48007</v>
      </c>
      <c r="F258" s="7" t="s">
        <v>3357</v>
      </c>
      <c r="G258" s="7">
        <v>35</v>
      </c>
      <c r="H258" s="7" t="s">
        <v>2562</v>
      </c>
      <c r="I258" s="7" t="s">
        <v>312</v>
      </c>
      <c r="J258" s="15" t="s">
        <v>824</v>
      </c>
      <c r="K258" s="7" t="s">
        <v>2487</v>
      </c>
    </row>
    <row r="259" spans="1:11" s="5" customFormat="1" ht="25.5">
      <c r="A259" s="14">
        <f t="shared" si="9"/>
        <v>255</v>
      </c>
      <c r="B259" s="14" t="s">
        <v>361</v>
      </c>
      <c r="C259" s="9" t="s">
        <v>2812</v>
      </c>
      <c r="D259" s="8" t="s">
        <v>362</v>
      </c>
      <c r="E259" s="37">
        <v>181172</v>
      </c>
      <c r="F259" s="7" t="s">
        <v>3357</v>
      </c>
      <c r="G259" s="7">
        <v>35</v>
      </c>
      <c r="H259" s="7" t="s">
        <v>2814</v>
      </c>
      <c r="I259" s="7" t="s">
        <v>312</v>
      </c>
      <c r="J259" s="8" t="s">
        <v>823</v>
      </c>
      <c r="K259" s="7" t="s">
        <v>1732</v>
      </c>
    </row>
    <row r="260" spans="1:11" s="5" customFormat="1" ht="25.5">
      <c r="A260" s="14">
        <f t="shared" si="9"/>
        <v>256</v>
      </c>
      <c r="B260" s="14" t="s">
        <v>363</v>
      </c>
      <c r="C260" s="9" t="s">
        <v>1734</v>
      </c>
      <c r="D260" s="8" t="s">
        <v>364</v>
      </c>
      <c r="E260" s="37">
        <v>99470</v>
      </c>
      <c r="F260" s="7" t="s">
        <v>1774</v>
      </c>
      <c r="G260" s="7">
        <v>35</v>
      </c>
      <c r="H260" s="7" t="s">
        <v>1736</v>
      </c>
      <c r="I260" s="7" t="s">
        <v>312</v>
      </c>
      <c r="J260" s="15" t="s">
        <v>822</v>
      </c>
      <c r="K260" s="7" t="s">
        <v>1735</v>
      </c>
    </row>
    <row r="261" spans="1:11" s="5" customFormat="1" ht="25.5">
      <c r="A261" s="14">
        <f t="shared" si="9"/>
        <v>257</v>
      </c>
      <c r="B261" s="14" t="s">
        <v>365</v>
      </c>
      <c r="C261" s="9" t="s">
        <v>2812</v>
      </c>
      <c r="D261" s="8" t="s">
        <v>366</v>
      </c>
      <c r="E261" s="37">
        <v>236139</v>
      </c>
      <c r="F261" s="7" t="s">
        <v>3357</v>
      </c>
      <c r="G261" s="7">
        <v>35</v>
      </c>
      <c r="H261" s="7" t="s">
        <v>2813</v>
      </c>
      <c r="I261" s="7" t="s">
        <v>312</v>
      </c>
      <c r="J261" s="8" t="s">
        <v>821</v>
      </c>
      <c r="K261" s="7" t="s">
        <v>310</v>
      </c>
    </row>
    <row r="262" spans="1:11" s="5" customFormat="1" ht="51">
      <c r="A262" s="14">
        <f t="shared" si="9"/>
        <v>258</v>
      </c>
      <c r="B262" s="14" t="s">
        <v>367</v>
      </c>
      <c r="C262" s="9" t="s">
        <v>1203</v>
      </c>
      <c r="D262" s="8" t="s">
        <v>368</v>
      </c>
      <c r="E262" s="37">
        <v>202512</v>
      </c>
      <c r="F262" s="7" t="s">
        <v>623</v>
      </c>
      <c r="G262" s="7">
        <v>30</v>
      </c>
      <c r="H262" s="7" t="s">
        <v>1205</v>
      </c>
      <c r="I262" s="7" t="s">
        <v>312</v>
      </c>
      <c r="J262" s="8" t="s">
        <v>820</v>
      </c>
      <c r="K262" s="7" t="s">
        <v>1204</v>
      </c>
    </row>
    <row r="263" spans="1:11" s="5" customFormat="1" ht="25.5">
      <c r="A263" s="14">
        <f t="shared" si="9"/>
        <v>259</v>
      </c>
      <c r="B263" s="14" t="s">
        <v>369</v>
      </c>
      <c r="C263" s="9" t="s">
        <v>2893</v>
      </c>
      <c r="D263" s="8" t="s">
        <v>370</v>
      </c>
      <c r="E263" s="37">
        <v>128800</v>
      </c>
      <c r="F263" s="7" t="s">
        <v>3357</v>
      </c>
      <c r="G263" s="7">
        <v>35</v>
      </c>
      <c r="H263" s="7" t="s">
        <v>2894</v>
      </c>
      <c r="I263" s="7" t="s">
        <v>312</v>
      </c>
      <c r="J263" s="8" t="s">
        <v>819</v>
      </c>
      <c r="K263" s="7" t="s">
        <v>1732</v>
      </c>
    </row>
    <row r="264" spans="1:11" s="5" customFormat="1" ht="38.25">
      <c r="A264" s="14">
        <f t="shared" si="9"/>
        <v>260</v>
      </c>
      <c r="B264" s="14" t="s">
        <v>371</v>
      </c>
      <c r="C264" s="9" t="s">
        <v>1176</v>
      </c>
      <c r="D264" s="8" t="s">
        <v>372</v>
      </c>
      <c r="E264" s="37">
        <v>492456</v>
      </c>
      <c r="F264" s="7" t="s">
        <v>623</v>
      </c>
      <c r="G264" s="7">
        <v>35</v>
      </c>
      <c r="H264" s="7" t="s">
        <v>1178</v>
      </c>
      <c r="I264" s="7" t="s">
        <v>312</v>
      </c>
      <c r="J264" s="8" t="s">
        <v>818</v>
      </c>
      <c r="K264" s="7" t="s">
        <v>1177</v>
      </c>
    </row>
    <row r="265" spans="1:11" s="5" customFormat="1" ht="38.25">
      <c r="A265" s="14">
        <f t="shared" si="9"/>
        <v>261</v>
      </c>
      <c r="B265" s="14" t="s">
        <v>373</v>
      </c>
      <c r="C265" s="9" t="s">
        <v>2577</v>
      </c>
      <c r="D265" s="8" t="s">
        <v>374</v>
      </c>
      <c r="E265" s="37">
        <v>49762</v>
      </c>
      <c r="F265" s="7" t="s">
        <v>1983</v>
      </c>
      <c r="G265" s="7">
        <v>25</v>
      </c>
      <c r="H265" s="7" t="s">
        <v>2578</v>
      </c>
      <c r="I265" s="7" t="s">
        <v>312</v>
      </c>
      <c r="J265" s="8" t="s">
        <v>817</v>
      </c>
      <c r="K265" s="7" t="s">
        <v>1211</v>
      </c>
    </row>
    <row r="266" spans="1:11" s="5" customFormat="1" ht="38.25">
      <c r="A266" s="14">
        <f t="shared" si="9"/>
        <v>262</v>
      </c>
      <c r="B266" s="14" t="s">
        <v>375</v>
      </c>
      <c r="C266" s="9" t="s">
        <v>2563</v>
      </c>
      <c r="D266" s="8" t="s">
        <v>376</v>
      </c>
      <c r="E266" s="37">
        <v>249341</v>
      </c>
      <c r="F266" s="7" t="s">
        <v>3357</v>
      </c>
      <c r="G266" s="7">
        <v>35</v>
      </c>
      <c r="H266" s="7" t="s">
        <v>2564</v>
      </c>
      <c r="I266" s="7" t="s">
        <v>312</v>
      </c>
      <c r="J266" s="8" t="s">
        <v>816</v>
      </c>
      <c r="K266" s="7" t="s">
        <v>2492</v>
      </c>
    </row>
    <row r="267" spans="1:11" s="5" customFormat="1" ht="38.25">
      <c r="A267" s="14">
        <f t="shared" si="9"/>
        <v>263</v>
      </c>
      <c r="B267" s="14" t="s">
        <v>377</v>
      </c>
      <c r="C267" s="9" t="s">
        <v>2489</v>
      </c>
      <c r="D267" s="8" t="s">
        <v>1666</v>
      </c>
      <c r="E267" s="37">
        <v>242042</v>
      </c>
      <c r="F267" s="10" t="s">
        <v>1255</v>
      </c>
      <c r="G267" s="7">
        <v>35</v>
      </c>
      <c r="H267" s="7" t="s">
        <v>2490</v>
      </c>
      <c r="I267" s="7" t="s">
        <v>312</v>
      </c>
      <c r="J267" s="8" t="s">
        <v>815</v>
      </c>
      <c r="K267" s="7" t="s">
        <v>1735</v>
      </c>
    </row>
    <row r="268" spans="1:11" s="5" customFormat="1" ht="38.25">
      <c r="A268" s="14">
        <f t="shared" si="9"/>
        <v>264</v>
      </c>
      <c r="B268" s="14" t="s">
        <v>1667</v>
      </c>
      <c r="C268" s="9" t="s">
        <v>864</v>
      </c>
      <c r="D268" s="8" t="s">
        <v>1668</v>
      </c>
      <c r="E268" s="37">
        <v>142783</v>
      </c>
      <c r="F268" s="7" t="s">
        <v>1984</v>
      </c>
      <c r="G268" s="7">
        <v>35</v>
      </c>
      <c r="H268" s="7" t="s">
        <v>1831</v>
      </c>
      <c r="I268" s="7" t="s">
        <v>312</v>
      </c>
      <c r="J268" s="8" t="s">
        <v>814</v>
      </c>
      <c r="K268" s="7" t="s">
        <v>1830</v>
      </c>
    </row>
    <row r="269" spans="1:11" s="5" customFormat="1" ht="38.25">
      <c r="A269" s="14">
        <f t="shared" si="9"/>
        <v>265</v>
      </c>
      <c r="B269" s="14" t="s">
        <v>1669</v>
      </c>
      <c r="C269" s="9" t="s">
        <v>437</v>
      </c>
      <c r="D269" s="8" t="s">
        <v>1670</v>
      </c>
      <c r="E269" s="37">
        <v>249708</v>
      </c>
      <c r="F269" s="7" t="s">
        <v>623</v>
      </c>
      <c r="G269" s="7">
        <v>35</v>
      </c>
      <c r="H269" s="7" t="s">
        <v>1831</v>
      </c>
      <c r="I269" s="7" t="s">
        <v>312</v>
      </c>
      <c r="J269" s="8" t="s">
        <v>813</v>
      </c>
      <c r="K269" s="7" t="s">
        <v>1735</v>
      </c>
    </row>
    <row r="270" spans="1:11" s="5" customFormat="1" ht="25.5">
      <c r="A270" s="14">
        <f t="shared" si="9"/>
        <v>266</v>
      </c>
      <c r="B270" s="14" t="s">
        <v>1671</v>
      </c>
      <c r="C270" s="9" t="s">
        <v>1729</v>
      </c>
      <c r="D270" s="8" t="s">
        <v>1672</v>
      </c>
      <c r="E270" s="37">
        <v>201976</v>
      </c>
      <c r="F270" s="7" t="s">
        <v>3357</v>
      </c>
      <c r="G270" s="7">
        <v>35</v>
      </c>
      <c r="H270" s="7" t="s">
        <v>1730</v>
      </c>
      <c r="I270" s="7" t="s">
        <v>2318</v>
      </c>
      <c r="J270" s="8" t="s">
        <v>812</v>
      </c>
      <c r="K270" s="7" t="s">
        <v>310</v>
      </c>
    </row>
    <row r="271" spans="1:11" s="5" customFormat="1" ht="51">
      <c r="A271" s="14">
        <f t="shared" si="9"/>
        <v>267</v>
      </c>
      <c r="B271" s="14" t="s">
        <v>1673</v>
      </c>
      <c r="C271" s="9" t="s">
        <v>1818</v>
      </c>
      <c r="D271" s="8" t="s">
        <v>1674</v>
      </c>
      <c r="E271" s="37">
        <v>524241</v>
      </c>
      <c r="F271" s="7" t="s">
        <v>1985</v>
      </c>
      <c r="G271" s="7">
        <v>35</v>
      </c>
      <c r="H271" s="7" t="s">
        <v>1820</v>
      </c>
      <c r="I271" s="7" t="s">
        <v>1899</v>
      </c>
      <c r="J271" s="8" t="s">
        <v>811</v>
      </c>
      <c r="K271" s="7" t="s">
        <v>1819</v>
      </c>
    </row>
    <row r="272" spans="1:11" s="5" customFormat="1" ht="25.5">
      <c r="A272" s="14">
        <f t="shared" si="9"/>
        <v>268</v>
      </c>
      <c r="B272" s="14" t="s">
        <v>1675</v>
      </c>
      <c r="C272" s="9" t="s">
        <v>2491</v>
      </c>
      <c r="D272" s="8" t="s">
        <v>1676</v>
      </c>
      <c r="E272" s="37">
        <v>244999</v>
      </c>
      <c r="F272" s="7" t="s">
        <v>3357</v>
      </c>
      <c r="G272" s="7">
        <v>35</v>
      </c>
      <c r="H272" s="7" t="s">
        <v>2490</v>
      </c>
      <c r="I272" s="7" t="s">
        <v>312</v>
      </c>
      <c r="J272" s="8" t="s">
        <v>810</v>
      </c>
      <c r="K272" s="7" t="s">
        <v>2492</v>
      </c>
    </row>
    <row r="273" spans="1:11" s="5" customFormat="1" ht="38.25">
      <c r="A273" s="14">
        <f t="shared" si="9"/>
        <v>269</v>
      </c>
      <c r="B273" s="14" t="s">
        <v>1677</v>
      </c>
      <c r="C273" s="9" t="s">
        <v>1206</v>
      </c>
      <c r="D273" s="8" t="s">
        <v>1678</v>
      </c>
      <c r="E273" s="37">
        <v>150120</v>
      </c>
      <c r="F273" s="10" t="s">
        <v>2589</v>
      </c>
      <c r="G273" s="7">
        <v>35</v>
      </c>
      <c r="H273" s="7" t="s">
        <v>616</v>
      </c>
      <c r="I273" s="7" t="s">
        <v>312</v>
      </c>
      <c r="J273" s="8" t="s">
        <v>809</v>
      </c>
      <c r="K273" s="7" t="s">
        <v>1207</v>
      </c>
    </row>
    <row r="274" spans="1:11" s="5" customFormat="1" ht="38.25">
      <c r="A274" s="14">
        <f t="shared" si="9"/>
        <v>270</v>
      </c>
      <c r="B274" s="14" t="s">
        <v>1679</v>
      </c>
      <c r="C274" s="9" t="s">
        <v>1208</v>
      </c>
      <c r="D274" s="8" t="s">
        <v>1680</v>
      </c>
      <c r="E274" s="37">
        <v>422030</v>
      </c>
      <c r="F274" s="10" t="s">
        <v>1806</v>
      </c>
      <c r="G274" s="7">
        <v>35</v>
      </c>
      <c r="H274" s="7" t="s">
        <v>1210</v>
      </c>
      <c r="I274" s="7" t="s">
        <v>312</v>
      </c>
      <c r="J274" s="8" t="s">
        <v>808</v>
      </c>
      <c r="K274" s="7" t="s">
        <v>1209</v>
      </c>
    </row>
    <row r="275" spans="1:11" s="5" customFormat="1" ht="38.25">
      <c r="A275" s="14">
        <f t="shared" si="9"/>
        <v>271</v>
      </c>
      <c r="B275" s="14" t="s">
        <v>1681</v>
      </c>
      <c r="C275" s="9" t="s">
        <v>861</v>
      </c>
      <c r="D275" s="8" t="s">
        <v>1682</v>
      </c>
      <c r="E275" s="37">
        <v>207310</v>
      </c>
      <c r="F275" s="7" t="s">
        <v>623</v>
      </c>
      <c r="G275" s="7">
        <v>30</v>
      </c>
      <c r="H275" s="7" t="s">
        <v>2579</v>
      </c>
      <c r="I275" s="7" t="s">
        <v>312</v>
      </c>
      <c r="J275" s="8" t="s">
        <v>807</v>
      </c>
      <c r="K275" s="7" t="s">
        <v>2566</v>
      </c>
    </row>
    <row r="276" spans="1:11" s="5" customFormat="1" ht="38.25">
      <c r="A276" s="14">
        <f t="shared" si="9"/>
        <v>272</v>
      </c>
      <c r="B276" s="14" t="s">
        <v>1683</v>
      </c>
      <c r="C276" s="9" t="s">
        <v>2846</v>
      </c>
      <c r="D276" s="8" t="s">
        <v>1684</v>
      </c>
      <c r="E276" s="37">
        <v>160366</v>
      </c>
      <c r="F276" s="7" t="s">
        <v>1774</v>
      </c>
      <c r="G276" s="7">
        <v>35</v>
      </c>
      <c r="H276" s="7" t="s">
        <v>2848</v>
      </c>
      <c r="I276" s="7" t="s">
        <v>312</v>
      </c>
      <c r="J276" s="8" t="s">
        <v>806</v>
      </c>
      <c r="K276" s="7" t="s">
        <v>2847</v>
      </c>
    </row>
    <row r="277" spans="1:11" s="5" customFormat="1" ht="25.5">
      <c r="A277" s="14">
        <f t="shared" si="9"/>
        <v>273</v>
      </c>
      <c r="B277" s="14" t="s">
        <v>1685</v>
      </c>
      <c r="C277" s="9" t="s">
        <v>2565</v>
      </c>
      <c r="D277" s="8" t="s">
        <v>1686</v>
      </c>
      <c r="E277" s="37">
        <v>143507</v>
      </c>
      <c r="F277" s="7" t="s">
        <v>3357</v>
      </c>
      <c r="G277" s="7">
        <v>35</v>
      </c>
      <c r="H277" s="7" t="s">
        <v>2567</v>
      </c>
      <c r="I277" s="7" t="s">
        <v>312</v>
      </c>
      <c r="J277" s="8" t="s">
        <v>805</v>
      </c>
      <c r="K277" s="7" t="s">
        <v>2566</v>
      </c>
    </row>
    <row r="278" spans="1:11" s="5" customFormat="1" ht="25.5">
      <c r="A278" s="14">
        <f t="shared" si="9"/>
        <v>274</v>
      </c>
      <c r="B278" s="14" t="s">
        <v>1687</v>
      </c>
      <c r="C278" s="9" t="s">
        <v>1832</v>
      </c>
      <c r="D278" s="8" t="s">
        <v>1688</v>
      </c>
      <c r="E278" s="37">
        <v>232900</v>
      </c>
      <c r="F278" s="10" t="s">
        <v>1618</v>
      </c>
      <c r="G278" s="7">
        <v>30</v>
      </c>
      <c r="H278" s="7" t="s">
        <v>1834</v>
      </c>
      <c r="I278" s="7" t="s">
        <v>312</v>
      </c>
      <c r="J278" s="8" t="s">
        <v>804</v>
      </c>
      <c r="K278" s="7" t="s">
        <v>1833</v>
      </c>
    </row>
    <row r="279" spans="1:11" s="5" customFormat="1" ht="25.5">
      <c r="A279" s="14">
        <f t="shared" si="9"/>
        <v>275</v>
      </c>
      <c r="B279" s="14" t="s">
        <v>1689</v>
      </c>
      <c r="C279" s="9" t="s">
        <v>446</v>
      </c>
      <c r="D279" s="8" t="s">
        <v>1690</v>
      </c>
      <c r="E279" s="37">
        <v>327939</v>
      </c>
      <c r="F279" s="7" t="s">
        <v>1341</v>
      </c>
      <c r="G279" s="7">
        <v>35</v>
      </c>
      <c r="H279" s="7" t="s">
        <v>2798</v>
      </c>
      <c r="I279" s="7" t="s">
        <v>312</v>
      </c>
      <c r="J279" s="15" t="s">
        <v>803</v>
      </c>
      <c r="K279" s="7" t="s">
        <v>2797</v>
      </c>
    </row>
    <row r="280" spans="1:11" s="5" customFormat="1" ht="38.25">
      <c r="A280" s="14">
        <f t="shared" si="9"/>
        <v>276</v>
      </c>
      <c r="B280" s="14" t="s">
        <v>1691</v>
      </c>
      <c r="C280" s="9" t="s">
        <v>1195</v>
      </c>
      <c r="D280" s="8" t="s">
        <v>1692</v>
      </c>
      <c r="E280" s="37">
        <v>195138</v>
      </c>
      <c r="F280" s="7" t="s">
        <v>2769</v>
      </c>
      <c r="G280" s="7">
        <v>35</v>
      </c>
      <c r="H280" s="7" t="s">
        <v>1212</v>
      </c>
      <c r="I280" s="7" t="s">
        <v>312</v>
      </c>
      <c r="J280" s="8" t="s">
        <v>802</v>
      </c>
      <c r="K280" s="7" t="s">
        <v>1211</v>
      </c>
    </row>
    <row r="281" spans="1:11" s="5" customFormat="1" ht="38.25">
      <c r="A281" s="14">
        <f t="shared" si="9"/>
        <v>277</v>
      </c>
      <c r="B281" s="14" t="s">
        <v>1693</v>
      </c>
      <c r="C281" s="9" t="s">
        <v>1754</v>
      </c>
      <c r="D281" s="8" t="s">
        <v>1694</v>
      </c>
      <c r="E281" s="37">
        <v>302853</v>
      </c>
      <c r="F281" s="7" t="s">
        <v>3357</v>
      </c>
      <c r="G281" s="7">
        <v>35</v>
      </c>
      <c r="H281" s="7" t="s">
        <v>1763</v>
      </c>
      <c r="I281" s="7" t="s">
        <v>1756</v>
      </c>
      <c r="J281" s="8" t="s">
        <v>801</v>
      </c>
      <c r="K281" s="7" t="s">
        <v>1762</v>
      </c>
    </row>
    <row r="282" spans="1:11" s="5" customFormat="1" ht="25.5">
      <c r="A282" s="14">
        <f t="shared" si="9"/>
        <v>278</v>
      </c>
      <c r="B282" s="14" t="s">
        <v>1695</v>
      </c>
      <c r="C282" s="9" t="s">
        <v>2869</v>
      </c>
      <c r="D282" s="8" t="s">
        <v>1696</v>
      </c>
      <c r="E282" s="37">
        <v>209599</v>
      </c>
      <c r="F282" s="7" t="s">
        <v>3357</v>
      </c>
      <c r="G282" s="7">
        <v>25</v>
      </c>
      <c r="H282" s="7" t="s">
        <v>1437</v>
      </c>
      <c r="I282" s="7" t="s">
        <v>1756</v>
      </c>
      <c r="J282" s="8" t="s">
        <v>800</v>
      </c>
      <c r="K282" s="7" t="s">
        <v>3295</v>
      </c>
    </row>
    <row r="283" spans="1:11" s="5" customFormat="1" ht="25.5">
      <c r="A283" s="14">
        <f t="shared" si="9"/>
        <v>279</v>
      </c>
      <c r="B283" s="14" t="s">
        <v>1697</v>
      </c>
      <c r="C283" s="9" t="s">
        <v>2493</v>
      </c>
      <c r="D283" s="8" t="s">
        <v>1698</v>
      </c>
      <c r="E283" s="37">
        <v>249291</v>
      </c>
      <c r="F283" s="10" t="s">
        <v>1986</v>
      </c>
      <c r="G283" s="7">
        <v>35</v>
      </c>
      <c r="H283" s="7" t="s">
        <v>2495</v>
      </c>
      <c r="I283" s="7" t="s">
        <v>312</v>
      </c>
      <c r="J283" s="8" t="s">
        <v>799</v>
      </c>
      <c r="K283" s="7" t="s">
        <v>2494</v>
      </c>
    </row>
    <row r="284" spans="1:11" s="5" customFormat="1" ht="25.5">
      <c r="A284" s="14">
        <f t="shared" si="9"/>
        <v>280</v>
      </c>
      <c r="B284" s="14" t="s">
        <v>1699</v>
      </c>
      <c r="C284" s="9" t="s">
        <v>1701</v>
      </c>
      <c r="D284" s="8" t="s">
        <v>1700</v>
      </c>
      <c r="E284" s="37">
        <v>247945</v>
      </c>
      <c r="F284" s="10" t="s">
        <v>1984</v>
      </c>
      <c r="G284" s="7">
        <v>35</v>
      </c>
      <c r="H284" s="7" t="s">
        <v>1838</v>
      </c>
      <c r="I284" s="7" t="s">
        <v>312</v>
      </c>
      <c r="J284" s="8" t="s">
        <v>798</v>
      </c>
      <c r="K284" s="7" t="s">
        <v>1837</v>
      </c>
    </row>
    <row r="285" spans="1:11" s="5" customFormat="1" ht="38.25">
      <c r="A285" s="14">
        <f t="shared" si="9"/>
        <v>281</v>
      </c>
      <c r="B285" s="14" t="s">
        <v>1702</v>
      </c>
      <c r="C285" s="9" t="s">
        <v>1745</v>
      </c>
      <c r="D285" s="8" t="s">
        <v>1703</v>
      </c>
      <c r="E285" s="37">
        <v>164572</v>
      </c>
      <c r="F285" s="7" t="s">
        <v>1774</v>
      </c>
      <c r="G285" s="7">
        <v>30</v>
      </c>
      <c r="H285" s="7" t="s">
        <v>1747</v>
      </c>
      <c r="I285" s="7" t="s">
        <v>312</v>
      </c>
      <c r="J285" s="8" t="s">
        <v>797</v>
      </c>
      <c r="K285" s="7" t="s">
        <v>1746</v>
      </c>
    </row>
    <row r="286" spans="1:11" s="5" customFormat="1" ht="38.25">
      <c r="A286" s="14">
        <f t="shared" si="9"/>
        <v>282</v>
      </c>
      <c r="B286" s="14" t="s">
        <v>1704</v>
      </c>
      <c r="C286" s="9" t="s">
        <v>2792</v>
      </c>
      <c r="D286" s="8" t="s">
        <v>1705</v>
      </c>
      <c r="E286" s="37">
        <v>295864</v>
      </c>
      <c r="F286" s="7" t="s">
        <v>623</v>
      </c>
      <c r="G286" s="7">
        <v>25</v>
      </c>
      <c r="H286" s="7" t="s">
        <v>2809</v>
      </c>
      <c r="I286" s="7" t="s">
        <v>312</v>
      </c>
      <c r="J286" s="8" t="s">
        <v>796</v>
      </c>
      <c r="K286" s="7" t="s">
        <v>2808</v>
      </c>
    </row>
    <row r="287" spans="1:11" s="5" customFormat="1" ht="38.25">
      <c r="A287" s="14">
        <f t="shared" si="9"/>
        <v>283</v>
      </c>
      <c r="B287" s="14" t="s">
        <v>1706</v>
      </c>
      <c r="C287" s="9" t="s">
        <v>2580</v>
      </c>
      <c r="D287" s="8" t="s">
        <v>1707</v>
      </c>
      <c r="E287" s="37">
        <v>246352</v>
      </c>
      <c r="F287" s="7" t="s">
        <v>1774</v>
      </c>
      <c r="G287" s="7">
        <v>25</v>
      </c>
      <c r="H287" s="7" t="s">
        <v>2582</v>
      </c>
      <c r="I287" s="7" t="s">
        <v>312</v>
      </c>
      <c r="J287" s="8" t="s">
        <v>795</v>
      </c>
      <c r="K287" s="7" t="s">
        <v>2581</v>
      </c>
    </row>
    <row r="288" spans="1:11" s="5" customFormat="1" ht="51">
      <c r="A288" s="14">
        <v>284</v>
      </c>
      <c r="B288" s="14" t="s">
        <v>1708</v>
      </c>
      <c r="C288" s="9" t="s">
        <v>2889</v>
      </c>
      <c r="D288" s="8" t="s">
        <v>1709</v>
      </c>
      <c r="E288" s="37">
        <v>45900</v>
      </c>
      <c r="F288" s="7" t="s">
        <v>3357</v>
      </c>
      <c r="G288" s="7">
        <v>35</v>
      </c>
      <c r="H288" s="7" t="s">
        <v>2891</v>
      </c>
      <c r="I288" s="7" t="s">
        <v>2892</v>
      </c>
      <c r="J288" s="8" t="s">
        <v>794</v>
      </c>
      <c r="K288" s="7" t="s">
        <v>2890</v>
      </c>
    </row>
    <row r="289" spans="1:11" s="5" customFormat="1" ht="12.75">
      <c r="A289" s="14"/>
      <c r="B289" s="14"/>
      <c r="C289" s="9"/>
      <c r="D289" s="8"/>
      <c r="E289" s="37"/>
      <c r="F289" s="10"/>
      <c r="G289" s="7"/>
      <c r="H289" s="7"/>
      <c r="I289" s="7"/>
      <c r="J289" s="8"/>
      <c r="K289" s="7"/>
    </row>
    <row r="290" spans="1:11" s="5" customFormat="1" ht="12.75">
      <c r="A290" s="14"/>
      <c r="B290" s="14"/>
      <c r="C290" s="9"/>
      <c r="D290" s="8"/>
      <c r="E290" s="37"/>
      <c r="F290" s="7"/>
      <c r="G290" s="7"/>
      <c r="H290" s="7"/>
      <c r="I290" s="7"/>
      <c r="J290" s="8"/>
      <c r="K290" s="7"/>
    </row>
    <row r="291" spans="1:11" s="5" customFormat="1" ht="12.75">
      <c r="A291" s="14"/>
      <c r="B291" s="14"/>
      <c r="C291" s="9"/>
      <c r="D291" s="8"/>
      <c r="E291" s="37"/>
      <c r="F291" s="7"/>
      <c r="G291" s="7"/>
      <c r="H291" s="7"/>
      <c r="I291" s="7"/>
      <c r="J291" s="8"/>
      <c r="K291" s="7"/>
    </row>
    <row r="292" spans="1:11" s="5" customFormat="1" ht="12.75">
      <c r="A292" s="14"/>
      <c r="B292" s="14"/>
      <c r="C292" s="9"/>
      <c r="D292" s="8"/>
      <c r="E292" s="37"/>
      <c r="F292" s="7"/>
      <c r="G292" s="7"/>
      <c r="H292" s="7"/>
      <c r="I292" s="7"/>
      <c r="J292" s="8"/>
      <c r="K292" s="7"/>
    </row>
    <row r="293" spans="1:11" s="5" customFormat="1" ht="12.75">
      <c r="A293" s="14"/>
      <c r="B293" s="14"/>
      <c r="C293" s="9"/>
      <c r="D293" s="8"/>
      <c r="E293" s="37"/>
      <c r="F293" s="7"/>
      <c r="G293" s="7"/>
      <c r="H293" s="7"/>
      <c r="I293" s="7"/>
      <c r="J293" s="8"/>
      <c r="K293" s="7"/>
    </row>
    <row r="294" spans="1:11" s="5" customFormat="1" ht="12.75">
      <c r="A294" s="14"/>
      <c r="B294" s="14"/>
      <c r="C294" s="9"/>
      <c r="D294" s="8"/>
      <c r="E294" s="37"/>
      <c r="F294" s="7"/>
      <c r="G294" s="7"/>
      <c r="H294" s="7"/>
      <c r="I294" s="7"/>
      <c r="J294" s="8"/>
      <c r="K294" s="7"/>
    </row>
    <row r="295" spans="1:11" s="5" customFormat="1" ht="12.75">
      <c r="A295" s="592"/>
      <c r="B295" s="592"/>
      <c r="C295" s="587" t="s">
        <v>1987</v>
      </c>
      <c r="D295" s="588"/>
      <c r="E295" s="589"/>
      <c r="F295" s="590"/>
      <c r="G295" s="590"/>
      <c r="H295" s="590"/>
      <c r="I295" s="590"/>
      <c r="J295" s="591"/>
      <c r="K295" s="590"/>
    </row>
    <row r="296" spans="1:11" s="5" customFormat="1" ht="38.25">
      <c r="A296" s="14">
        <f>A294+1</f>
        <v>1</v>
      </c>
      <c r="B296" s="14" t="s">
        <v>2654</v>
      </c>
      <c r="C296" s="9" t="s">
        <v>2638</v>
      </c>
      <c r="D296" s="8" t="s">
        <v>2655</v>
      </c>
      <c r="E296" s="37"/>
      <c r="F296" s="7" t="s">
        <v>1016</v>
      </c>
      <c r="G296" s="7">
        <v>15</v>
      </c>
      <c r="H296" s="7" t="s">
        <v>2639</v>
      </c>
      <c r="I296" s="10" t="s">
        <v>2656</v>
      </c>
      <c r="J296" s="8" t="s">
        <v>2657</v>
      </c>
      <c r="K296" s="7"/>
    </row>
    <row r="297" spans="1:11" s="5" customFormat="1" ht="25.5">
      <c r="A297" s="14">
        <f>A296+1</f>
        <v>2</v>
      </c>
      <c r="B297" s="14" t="s">
        <v>2004</v>
      </c>
      <c r="C297" s="9" t="s">
        <v>2001</v>
      </c>
      <c r="D297" s="8" t="s">
        <v>2002</v>
      </c>
      <c r="E297" s="37"/>
      <c r="F297" s="7" t="s">
        <v>1316</v>
      </c>
      <c r="G297" s="7">
        <v>35</v>
      </c>
      <c r="H297" s="7" t="s">
        <v>1739</v>
      </c>
      <c r="I297" s="7" t="s">
        <v>1739</v>
      </c>
      <c r="J297" s="8" t="s">
        <v>1998</v>
      </c>
      <c r="K297" s="7"/>
    </row>
    <row r="298" spans="1:11" s="5" customFormat="1" ht="38.25">
      <c r="A298" s="14">
        <f>A297+1</f>
        <v>3</v>
      </c>
      <c r="B298" s="14" t="s">
        <v>2007</v>
      </c>
      <c r="C298" s="9" t="s">
        <v>2803</v>
      </c>
      <c r="D298" s="8" t="s">
        <v>2000</v>
      </c>
      <c r="E298" s="37">
        <v>243234</v>
      </c>
      <c r="F298" s="7" t="s">
        <v>1581</v>
      </c>
      <c r="G298" s="7">
        <v>35</v>
      </c>
      <c r="H298" s="7" t="s">
        <v>2804</v>
      </c>
      <c r="I298" s="7"/>
      <c r="J298" s="8" t="s">
        <v>1999</v>
      </c>
      <c r="K298" s="7"/>
    </row>
    <row r="299" spans="1:11" s="5" customFormat="1" ht="38.25">
      <c r="A299" s="14">
        <f>A298+1</f>
        <v>4</v>
      </c>
      <c r="B299" s="14" t="s">
        <v>2006</v>
      </c>
      <c r="C299" s="9" t="s">
        <v>1583</v>
      </c>
      <c r="D299" s="8" t="s">
        <v>1995</v>
      </c>
      <c r="E299" s="37">
        <v>80146</v>
      </c>
      <c r="F299" s="7" t="s">
        <v>1581</v>
      </c>
      <c r="G299" s="7">
        <v>22</v>
      </c>
      <c r="H299" s="7" t="s">
        <v>2801</v>
      </c>
      <c r="I299" s="7" t="s">
        <v>2801</v>
      </c>
      <c r="J299" s="15" t="s">
        <v>1996</v>
      </c>
      <c r="K299" s="7"/>
    </row>
    <row r="300" spans="1:11" s="5" customFormat="1" ht="38.25">
      <c r="A300" s="14">
        <f aca="true" t="shared" si="10" ref="A300:A326">A299+1</f>
        <v>5</v>
      </c>
      <c r="B300" s="14" t="s">
        <v>2005</v>
      </c>
      <c r="C300" s="9" t="s">
        <v>1740</v>
      </c>
      <c r="D300" s="8" t="s">
        <v>2003</v>
      </c>
      <c r="E300" s="37"/>
      <c r="F300" s="7" t="s">
        <v>1316</v>
      </c>
      <c r="G300" s="7">
        <v>30</v>
      </c>
      <c r="H300" s="7" t="s">
        <v>1741</v>
      </c>
      <c r="I300" s="7" t="s">
        <v>1741</v>
      </c>
      <c r="J300" s="8" t="s">
        <v>1997</v>
      </c>
      <c r="K300" s="7"/>
    </row>
    <row r="301" spans="1:11" s="5" customFormat="1" ht="38.25">
      <c r="A301" s="14">
        <f t="shared" si="10"/>
        <v>6</v>
      </c>
      <c r="B301" s="14" t="s">
        <v>2652</v>
      </c>
      <c r="C301" s="9" t="s">
        <v>2641</v>
      </c>
      <c r="D301" s="8" t="s">
        <v>2653</v>
      </c>
      <c r="E301" s="37"/>
      <c r="F301" s="7" t="s">
        <v>450</v>
      </c>
      <c r="G301" s="7">
        <v>15</v>
      </c>
      <c r="H301" s="7" t="s">
        <v>2642</v>
      </c>
      <c r="I301" s="7" t="s">
        <v>2642</v>
      </c>
      <c r="J301" s="8" t="s">
        <v>2658</v>
      </c>
      <c r="K301" s="7"/>
    </row>
    <row r="302" spans="1:11" s="5" customFormat="1" ht="25.5">
      <c r="A302" s="14">
        <f t="shared" si="10"/>
        <v>7</v>
      </c>
      <c r="B302" s="14" t="s">
        <v>1710</v>
      </c>
      <c r="C302" s="9" t="s">
        <v>1712</v>
      </c>
      <c r="D302" s="8" t="s">
        <v>1713</v>
      </c>
      <c r="E302" s="37">
        <v>72565</v>
      </c>
      <c r="F302" s="7" t="s">
        <v>1711</v>
      </c>
      <c r="G302" s="7">
        <v>15</v>
      </c>
      <c r="H302" s="7" t="s">
        <v>2872</v>
      </c>
      <c r="I302" s="7" t="s">
        <v>2872</v>
      </c>
      <c r="J302" s="8" t="s">
        <v>793</v>
      </c>
      <c r="K302" s="7"/>
    </row>
    <row r="303" spans="1:11" s="5" customFormat="1" ht="25.5">
      <c r="A303" s="14">
        <f t="shared" si="10"/>
        <v>8</v>
      </c>
      <c r="B303" s="14" t="s">
        <v>1715</v>
      </c>
      <c r="C303" s="9" t="s">
        <v>1717</v>
      </c>
      <c r="D303" s="8" t="s">
        <v>1714</v>
      </c>
      <c r="E303" s="37">
        <v>164375</v>
      </c>
      <c r="F303" s="7" t="s">
        <v>1716</v>
      </c>
      <c r="G303" s="7">
        <v>15</v>
      </c>
      <c r="H303" s="7" t="s">
        <v>2839</v>
      </c>
      <c r="I303" s="7" t="s">
        <v>2840</v>
      </c>
      <c r="J303" s="8" t="s">
        <v>792</v>
      </c>
      <c r="K303" s="7"/>
    </row>
    <row r="304" spans="1:11" s="5" customFormat="1" ht="38.25">
      <c r="A304" s="14">
        <f t="shared" si="10"/>
        <v>9</v>
      </c>
      <c r="B304" s="14" t="s">
        <v>1718</v>
      </c>
      <c r="C304" s="9" t="s">
        <v>2887</v>
      </c>
      <c r="D304" s="8" t="s">
        <v>1719</v>
      </c>
      <c r="E304" s="37"/>
      <c r="F304" s="7" t="s">
        <v>1720</v>
      </c>
      <c r="G304" s="7">
        <v>15</v>
      </c>
      <c r="H304" s="7" t="s">
        <v>2888</v>
      </c>
      <c r="I304" s="7" t="s">
        <v>2888</v>
      </c>
      <c r="J304" s="8" t="s">
        <v>791</v>
      </c>
      <c r="K304" s="7"/>
    </row>
    <row r="305" spans="1:11" s="5" customFormat="1" ht="25.5">
      <c r="A305" s="14">
        <f t="shared" si="10"/>
        <v>10</v>
      </c>
      <c r="B305" s="14" t="s">
        <v>2649</v>
      </c>
      <c r="C305" s="9" t="s">
        <v>2648</v>
      </c>
      <c r="D305" s="8" t="s">
        <v>2647</v>
      </c>
      <c r="E305" s="37">
        <v>5391</v>
      </c>
      <c r="F305" s="7" t="s">
        <v>2645</v>
      </c>
      <c r="G305" s="7">
        <v>25</v>
      </c>
      <c r="H305" s="7" t="s">
        <v>2640</v>
      </c>
      <c r="I305" s="7" t="s">
        <v>2640</v>
      </c>
      <c r="J305" s="8" t="s">
        <v>2659</v>
      </c>
      <c r="K305" s="7"/>
    </row>
    <row r="306" spans="1:11" s="5" customFormat="1" ht="25.5">
      <c r="A306" s="14">
        <f t="shared" si="10"/>
        <v>11</v>
      </c>
      <c r="B306" s="14" t="s">
        <v>2464</v>
      </c>
      <c r="C306" s="9" t="s">
        <v>1742</v>
      </c>
      <c r="D306" s="8" t="s">
        <v>2465</v>
      </c>
      <c r="E306" s="37">
        <v>20000</v>
      </c>
      <c r="F306" s="7" t="s">
        <v>1316</v>
      </c>
      <c r="G306" s="7">
        <v>15</v>
      </c>
      <c r="H306" s="7" t="s">
        <v>1743</v>
      </c>
      <c r="I306" s="7" t="s">
        <v>1744</v>
      </c>
      <c r="J306" s="8" t="s">
        <v>790</v>
      </c>
      <c r="K306" s="7"/>
    </row>
    <row r="307" spans="1:11" s="5" customFormat="1" ht="25.5">
      <c r="A307" s="14">
        <f t="shared" si="10"/>
        <v>12</v>
      </c>
      <c r="B307" s="14" t="s">
        <v>1721</v>
      </c>
      <c r="C307" s="9" t="s">
        <v>434</v>
      </c>
      <c r="D307" s="8" t="s">
        <v>435</v>
      </c>
      <c r="E307" s="37">
        <v>87615</v>
      </c>
      <c r="F307" s="7" t="s">
        <v>480</v>
      </c>
      <c r="G307" s="7">
        <v>35</v>
      </c>
      <c r="H307" s="7" t="s">
        <v>2811</v>
      </c>
      <c r="I307" s="7" t="s">
        <v>2811</v>
      </c>
      <c r="J307" s="8" t="s">
        <v>789</v>
      </c>
      <c r="K307" s="7"/>
    </row>
    <row r="308" spans="1:11" s="5" customFormat="1" ht="38.25">
      <c r="A308" s="14">
        <f t="shared" si="10"/>
        <v>13</v>
      </c>
      <c r="B308" s="14" t="s">
        <v>2466</v>
      </c>
      <c r="C308" s="9" t="s">
        <v>2468</v>
      </c>
      <c r="D308" s="8" t="s">
        <v>2467</v>
      </c>
      <c r="E308" s="37">
        <v>23804</v>
      </c>
      <c r="F308" s="7" t="s">
        <v>2470</v>
      </c>
      <c r="G308" s="7">
        <v>35</v>
      </c>
      <c r="H308" s="7" t="s">
        <v>2816</v>
      </c>
      <c r="I308" s="7" t="s">
        <v>2816</v>
      </c>
      <c r="J308" s="8" t="s">
        <v>788</v>
      </c>
      <c r="K308" s="7"/>
    </row>
    <row r="309" spans="1:11" s="5" customFormat="1" ht="25.5">
      <c r="A309" s="14">
        <f t="shared" si="10"/>
        <v>14</v>
      </c>
      <c r="B309" s="14" t="s">
        <v>2471</v>
      </c>
      <c r="C309" s="9" t="s">
        <v>2468</v>
      </c>
      <c r="D309" s="8" t="s">
        <v>2469</v>
      </c>
      <c r="E309" s="37">
        <v>64081</v>
      </c>
      <c r="F309" s="7" t="s">
        <v>2470</v>
      </c>
      <c r="G309" s="7">
        <v>35</v>
      </c>
      <c r="H309" s="7" t="s">
        <v>2815</v>
      </c>
      <c r="I309" s="7" t="s">
        <v>2815</v>
      </c>
      <c r="J309" s="8" t="s">
        <v>784</v>
      </c>
      <c r="K309" s="7"/>
    </row>
    <row r="310" spans="1:11" s="5" customFormat="1" ht="38.25">
      <c r="A310" s="14">
        <f t="shared" si="10"/>
        <v>15</v>
      </c>
      <c r="B310" s="14" t="s">
        <v>436</v>
      </c>
      <c r="C310" s="9" t="s">
        <v>3324</v>
      </c>
      <c r="D310" s="8" t="s">
        <v>438</v>
      </c>
      <c r="E310" s="37">
        <v>52942</v>
      </c>
      <c r="F310" s="7" t="s">
        <v>1774</v>
      </c>
      <c r="G310" s="7">
        <v>15</v>
      </c>
      <c r="H310" s="7" t="s">
        <v>2784</v>
      </c>
      <c r="I310" s="7" t="s">
        <v>2784</v>
      </c>
      <c r="J310" s="8" t="s">
        <v>783</v>
      </c>
      <c r="K310" s="7"/>
    </row>
    <row r="311" spans="1:11" s="5" customFormat="1" ht="25.5">
      <c r="A311" s="14">
        <f t="shared" si="10"/>
        <v>16</v>
      </c>
      <c r="B311" s="14" t="s">
        <v>439</v>
      </c>
      <c r="C311" s="9" t="s">
        <v>2873</v>
      </c>
      <c r="D311" s="8" t="s">
        <v>440</v>
      </c>
      <c r="E311" s="37">
        <v>30400</v>
      </c>
      <c r="F311" s="7" t="s">
        <v>1766</v>
      </c>
      <c r="G311" s="7">
        <v>30</v>
      </c>
      <c r="H311" s="7" t="s">
        <v>2874</v>
      </c>
      <c r="I311" s="7" t="s">
        <v>2874</v>
      </c>
      <c r="J311" s="8" t="s">
        <v>782</v>
      </c>
      <c r="K311" s="7"/>
    </row>
    <row r="312" spans="1:11" s="5" customFormat="1" ht="25.5">
      <c r="A312" s="14">
        <f t="shared" si="10"/>
        <v>17</v>
      </c>
      <c r="B312" s="14" t="s">
        <v>441</v>
      </c>
      <c r="C312" s="9" t="s">
        <v>2870</v>
      </c>
      <c r="D312" s="8" t="s">
        <v>442</v>
      </c>
      <c r="E312" s="37">
        <v>95986</v>
      </c>
      <c r="F312" s="7" t="s">
        <v>1766</v>
      </c>
      <c r="G312" s="7">
        <v>20</v>
      </c>
      <c r="H312" s="7" t="s">
        <v>2871</v>
      </c>
      <c r="I312" s="7" t="s">
        <v>2871</v>
      </c>
      <c r="J312" s="8" t="s">
        <v>781</v>
      </c>
      <c r="K312" s="7"/>
    </row>
    <row r="313" spans="1:11" s="5" customFormat="1" ht="38.25">
      <c r="A313" s="14">
        <f t="shared" si="10"/>
        <v>18</v>
      </c>
      <c r="B313" s="14" t="s">
        <v>444</v>
      </c>
      <c r="C313" s="9" t="s">
        <v>445</v>
      </c>
      <c r="D313" s="8" t="s">
        <v>2628</v>
      </c>
      <c r="E313" s="37">
        <v>88362</v>
      </c>
      <c r="F313" s="7" t="s">
        <v>443</v>
      </c>
      <c r="G313" s="7">
        <v>25</v>
      </c>
      <c r="H313" s="7" t="s">
        <v>2796</v>
      </c>
      <c r="I313" s="7" t="s">
        <v>2796</v>
      </c>
      <c r="J313" s="8" t="s">
        <v>780</v>
      </c>
      <c r="K313" s="7"/>
    </row>
    <row r="314" spans="1:11" s="5" customFormat="1" ht="38.25">
      <c r="A314" s="14">
        <f t="shared" si="10"/>
        <v>19</v>
      </c>
      <c r="B314" s="14" t="s">
        <v>451</v>
      </c>
      <c r="C314" s="9" t="s">
        <v>452</v>
      </c>
      <c r="D314" s="8" t="s">
        <v>453</v>
      </c>
      <c r="E314" s="37">
        <v>442159</v>
      </c>
      <c r="F314" s="7" t="s">
        <v>450</v>
      </c>
      <c r="G314" s="7">
        <v>35</v>
      </c>
      <c r="H314" s="7" t="s">
        <v>2802</v>
      </c>
      <c r="I314" s="7" t="s">
        <v>2802</v>
      </c>
      <c r="J314" s="8" t="s">
        <v>779</v>
      </c>
      <c r="K314" s="7"/>
    </row>
    <row r="315" spans="1:11" s="5" customFormat="1" ht="25.5">
      <c r="A315" s="14">
        <f t="shared" si="10"/>
        <v>20</v>
      </c>
      <c r="B315" s="14" t="s">
        <v>454</v>
      </c>
      <c r="C315" s="9" t="s">
        <v>1835</v>
      </c>
      <c r="D315" s="8" t="s">
        <v>455</v>
      </c>
      <c r="E315" s="37">
        <v>45000</v>
      </c>
      <c r="F315" s="7" t="s">
        <v>450</v>
      </c>
      <c r="G315" s="7">
        <v>25</v>
      </c>
      <c r="H315" s="7" t="s">
        <v>1836</v>
      </c>
      <c r="I315" s="7" t="s">
        <v>1836</v>
      </c>
      <c r="J315" s="8" t="s">
        <v>778</v>
      </c>
      <c r="K315" s="7"/>
    </row>
    <row r="316" spans="1:11" s="5" customFormat="1" ht="38.25">
      <c r="A316" s="14">
        <f t="shared" si="10"/>
        <v>21</v>
      </c>
      <c r="B316" s="14" t="s">
        <v>456</v>
      </c>
      <c r="C316" s="9" t="s">
        <v>1726</v>
      </c>
      <c r="D316" s="8" t="s">
        <v>457</v>
      </c>
      <c r="E316" s="37">
        <v>150982</v>
      </c>
      <c r="F316" s="7" t="s">
        <v>3357</v>
      </c>
      <c r="G316" s="7">
        <v>35</v>
      </c>
      <c r="H316" s="7" t="s">
        <v>2505</v>
      </c>
      <c r="I316" s="7" t="s">
        <v>2505</v>
      </c>
      <c r="J316" s="8" t="s">
        <v>785</v>
      </c>
      <c r="K316" s="7"/>
    </row>
    <row r="317" spans="1:11" s="5" customFormat="1" ht="38.25">
      <c r="A317" s="14">
        <f t="shared" si="10"/>
        <v>22</v>
      </c>
      <c r="B317" s="14" t="s">
        <v>2650</v>
      </c>
      <c r="C317" s="9" t="s">
        <v>2643</v>
      </c>
      <c r="D317" s="8" t="s">
        <v>2651</v>
      </c>
      <c r="E317" s="37">
        <v>53930</v>
      </c>
      <c r="F317" s="7" t="s">
        <v>2646</v>
      </c>
      <c r="G317" s="7">
        <v>20</v>
      </c>
      <c r="H317" s="7" t="s">
        <v>2644</v>
      </c>
      <c r="I317" s="7" t="s">
        <v>2644</v>
      </c>
      <c r="J317" s="8" t="s">
        <v>2660</v>
      </c>
      <c r="K317" s="7"/>
    </row>
    <row r="318" spans="1:11" s="5" customFormat="1" ht="25.5">
      <c r="A318" s="14">
        <f t="shared" si="10"/>
        <v>23</v>
      </c>
      <c r="B318" s="14" t="s">
        <v>459</v>
      </c>
      <c r="C318" s="9" t="s">
        <v>1737</v>
      </c>
      <c r="D318" s="8" t="s">
        <v>458</v>
      </c>
      <c r="E318" s="37">
        <v>48919</v>
      </c>
      <c r="F318" s="7" t="s">
        <v>3357</v>
      </c>
      <c r="G318" s="7">
        <v>30</v>
      </c>
      <c r="H318" s="7" t="s">
        <v>1738</v>
      </c>
      <c r="I318" s="7" t="s">
        <v>1738</v>
      </c>
      <c r="J318" s="8" t="s">
        <v>777</v>
      </c>
      <c r="K318" s="7"/>
    </row>
    <row r="319" spans="1:11" s="5" customFormat="1" ht="38.25">
      <c r="A319" s="14">
        <f t="shared" si="10"/>
        <v>24</v>
      </c>
      <c r="B319" s="14" t="s">
        <v>2460</v>
      </c>
      <c r="C319" s="9" t="s">
        <v>2461</v>
      </c>
      <c r="D319" s="8" t="s">
        <v>2462</v>
      </c>
      <c r="E319" s="37">
        <v>136698</v>
      </c>
      <c r="F319" s="7" t="s">
        <v>1806</v>
      </c>
      <c r="G319" s="7">
        <v>25</v>
      </c>
      <c r="H319" s="7" t="s">
        <v>2463</v>
      </c>
      <c r="I319" s="7" t="s">
        <v>2463</v>
      </c>
      <c r="J319" s="8" t="s">
        <v>776</v>
      </c>
      <c r="K319" s="7"/>
    </row>
    <row r="320" spans="1:11" s="5" customFormat="1" ht="38.25">
      <c r="A320" s="14">
        <f t="shared" si="10"/>
        <v>25</v>
      </c>
      <c r="B320" s="14" t="s">
        <v>460</v>
      </c>
      <c r="C320" s="9" t="s">
        <v>2799</v>
      </c>
      <c r="D320" s="8" t="s">
        <v>461</v>
      </c>
      <c r="E320" s="37">
        <v>85783</v>
      </c>
      <c r="F320" s="7" t="s">
        <v>450</v>
      </c>
      <c r="G320" s="7">
        <v>15</v>
      </c>
      <c r="H320" s="7" t="s">
        <v>2800</v>
      </c>
      <c r="I320" s="7" t="s">
        <v>2800</v>
      </c>
      <c r="J320" s="8" t="s">
        <v>786</v>
      </c>
      <c r="K320" s="7"/>
    </row>
    <row r="321" spans="1:11" s="5" customFormat="1" ht="38.25">
      <c r="A321" s="14">
        <f t="shared" si="10"/>
        <v>26</v>
      </c>
      <c r="B321" s="14" t="s">
        <v>462</v>
      </c>
      <c r="C321" s="9" t="s">
        <v>463</v>
      </c>
      <c r="D321" s="8" t="s">
        <v>869</v>
      </c>
      <c r="E321" s="37">
        <v>42457</v>
      </c>
      <c r="F321" s="7" t="s">
        <v>1766</v>
      </c>
      <c r="G321" s="7">
        <v>25</v>
      </c>
      <c r="H321" s="7" t="s">
        <v>1078</v>
      </c>
      <c r="I321" s="7" t="s">
        <v>1078</v>
      </c>
      <c r="J321" s="8" t="s">
        <v>775</v>
      </c>
      <c r="K321" s="7" t="s">
        <v>2810</v>
      </c>
    </row>
    <row r="322" spans="1:11" s="5" customFormat="1" ht="38.25">
      <c r="A322" s="14">
        <f t="shared" si="10"/>
        <v>27</v>
      </c>
      <c r="B322" s="14" t="s">
        <v>2472</v>
      </c>
      <c r="C322" s="9" t="s">
        <v>2468</v>
      </c>
      <c r="D322" s="8" t="s">
        <v>2474</v>
      </c>
      <c r="E322" s="37">
        <v>118473</v>
      </c>
      <c r="F322" s="7" t="s">
        <v>2473</v>
      </c>
      <c r="G322" s="7">
        <v>35</v>
      </c>
      <c r="H322" s="7" t="s">
        <v>2824</v>
      </c>
      <c r="I322" s="7" t="s">
        <v>2824</v>
      </c>
      <c r="J322" s="8" t="s">
        <v>787</v>
      </c>
      <c r="K322" s="7"/>
    </row>
    <row r="323" spans="1:11" s="5" customFormat="1" ht="38.25">
      <c r="A323" s="14">
        <f t="shared" si="10"/>
        <v>28</v>
      </c>
      <c r="B323" s="14" t="s">
        <v>464</v>
      </c>
      <c r="C323" s="9" t="s">
        <v>2243</v>
      </c>
      <c r="D323" s="8" t="s">
        <v>465</v>
      </c>
      <c r="E323" s="37">
        <v>118651</v>
      </c>
      <c r="F323" s="7" t="s">
        <v>3357</v>
      </c>
      <c r="G323" s="7">
        <v>15</v>
      </c>
      <c r="H323" s="7" t="s">
        <v>2244</v>
      </c>
      <c r="I323" s="7" t="s">
        <v>181</v>
      </c>
      <c r="J323" s="8" t="s">
        <v>772</v>
      </c>
      <c r="K323" s="7"/>
    </row>
    <row r="324" spans="1:11" s="5" customFormat="1" ht="25.5">
      <c r="A324" s="14">
        <f t="shared" si="10"/>
        <v>29</v>
      </c>
      <c r="B324" s="14" t="s">
        <v>467</v>
      </c>
      <c r="C324" s="9" t="s">
        <v>2825</v>
      </c>
      <c r="D324" s="8" t="s">
        <v>466</v>
      </c>
      <c r="E324" s="37">
        <v>136950</v>
      </c>
      <c r="F324" s="7" t="s">
        <v>3357</v>
      </c>
      <c r="G324" s="7">
        <v>30</v>
      </c>
      <c r="H324" s="7" t="s">
        <v>2826</v>
      </c>
      <c r="I324" s="7" t="s">
        <v>173</v>
      </c>
      <c r="J324" s="8" t="s">
        <v>773</v>
      </c>
      <c r="K324" s="7"/>
    </row>
    <row r="325" spans="1:11" s="5" customFormat="1" ht="25.5">
      <c r="A325" s="14">
        <f t="shared" si="10"/>
        <v>30</v>
      </c>
      <c r="B325" s="14" t="s">
        <v>3254</v>
      </c>
      <c r="C325" s="9" t="s">
        <v>2825</v>
      </c>
      <c r="D325" s="8" t="s">
        <v>3255</v>
      </c>
      <c r="E325" s="37">
        <v>212588</v>
      </c>
      <c r="F325" s="7" t="s">
        <v>3357</v>
      </c>
      <c r="G325" s="7">
        <v>30</v>
      </c>
      <c r="H325" s="7" t="s">
        <v>2826</v>
      </c>
      <c r="I325" s="7" t="s">
        <v>173</v>
      </c>
      <c r="J325" s="8" t="s">
        <v>774</v>
      </c>
      <c r="K325" s="7"/>
    </row>
    <row r="326" spans="1:11" s="5" customFormat="1" ht="39" thickBot="1">
      <c r="A326" s="14">
        <f t="shared" si="10"/>
        <v>31</v>
      </c>
      <c r="B326" s="14" t="s">
        <v>1748</v>
      </c>
      <c r="C326" s="9" t="s">
        <v>1749</v>
      </c>
      <c r="D326" s="8" t="s">
        <v>2252</v>
      </c>
      <c r="E326" s="37">
        <v>91077</v>
      </c>
      <c r="F326" s="7" t="s">
        <v>1316</v>
      </c>
      <c r="G326" s="7">
        <v>15</v>
      </c>
      <c r="H326" s="7" t="s">
        <v>1750</v>
      </c>
      <c r="I326" s="7" t="s">
        <v>1750</v>
      </c>
      <c r="J326" s="8" t="s">
        <v>771</v>
      </c>
      <c r="K326" s="15"/>
    </row>
    <row r="327" spans="1:11" s="5" customFormat="1" ht="13.5" thickTop="1">
      <c r="A327" s="568"/>
      <c r="B327" s="568"/>
      <c r="C327" s="584" t="s">
        <v>1988</v>
      </c>
      <c r="D327" s="569"/>
      <c r="E327" s="570">
        <f>SUM(E5:E326)</f>
        <v>99446811.007</v>
      </c>
      <c r="F327" s="570"/>
      <c r="G327" s="594">
        <f>AVERAGE(G5:G326)</f>
        <v>26.574603174603176</v>
      </c>
      <c r="H327" s="571"/>
      <c r="I327" s="572"/>
      <c r="J327" s="573"/>
      <c r="K327" s="573"/>
    </row>
    <row r="328" spans="1:11" s="5" customFormat="1" ht="12.75">
      <c r="A328" s="14"/>
      <c r="B328" s="14"/>
      <c r="C328" s="585" t="s">
        <v>1989</v>
      </c>
      <c r="D328" s="6"/>
      <c r="E328" s="39">
        <f>SUM(E5:E294)</f>
        <v>96734243.007</v>
      </c>
      <c r="F328" s="39"/>
      <c r="G328" s="558">
        <f>AVERAGE(G5:G294)</f>
        <v>26.774647887323944</v>
      </c>
      <c r="H328" s="558"/>
      <c r="I328" s="7"/>
      <c r="J328" s="3"/>
      <c r="K328" s="3"/>
    </row>
    <row r="329" spans="1:11" s="5" customFormat="1" ht="13.5" thickBot="1">
      <c r="A329" s="578"/>
      <c r="B329" s="578"/>
      <c r="C329" s="586" t="s">
        <v>1987</v>
      </c>
      <c r="D329" s="579"/>
      <c r="E329" s="580">
        <f>SUM(E296:E326)</f>
        <v>2712568</v>
      </c>
      <c r="F329" s="580"/>
      <c r="G329" s="593">
        <f>AVERAGE(G296:G326)</f>
        <v>24.741935483870968</v>
      </c>
      <c r="H329" s="581"/>
      <c r="I329" s="582"/>
      <c r="J329" s="583"/>
      <c r="K329" s="583"/>
    </row>
    <row r="330" spans="1:11" s="5" customFormat="1" ht="12.75">
      <c r="A330" s="603"/>
      <c r="B330" s="656" t="s">
        <v>3370</v>
      </c>
      <c r="C330" s="657"/>
      <c r="D330" s="574" t="s">
        <v>3048</v>
      </c>
      <c r="E330" s="575">
        <f>SUM(E331:E335)</f>
        <v>15238831</v>
      </c>
      <c r="F330" s="576"/>
      <c r="G330" s="575">
        <f>SUM(G331:G335)</f>
        <v>1250</v>
      </c>
      <c r="H330" s="576"/>
      <c r="I330" s="577"/>
      <c r="J330" s="562"/>
      <c r="K330" s="562"/>
    </row>
    <row r="331" spans="1:11" s="5" customFormat="1" ht="12.75">
      <c r="A331" s="603"/>
      <c r="B331" s="629" t="s">
        <v>866</v>
      </c>
      <c r="C331" s="629"/>
      <c r="D331" s="15" t="s">
        <v>2289</v>
      </c>
      <c r="E331" s="37">
        <f>E57+E74+E95+E181+E186+E215+E223+E249+E272+E277+E288</f>
        <v>3479648</v>
      </c>
      <c r="F331" s="7"/>
      <c r="G331" s="37">
        <f>G57+G74+G95+G181+G186+G215+G223+G249+G272+G277+G288</f>
        <v>327</v>
      </c>
      <c r="H331" s="7"/>
      <c r="I331" s="3"/>
      <c r="J331" s="8"/>
      <c r="K331" s="8"/>
    </row>
    <row r="332" spans="1:11" s="5" customFormat="1" ht="12.75">
      <c r="A332" s="603"/>
      <c r="B332" s="629" t="s">
        <v>2354</v>
      </c>
      <c r="C332" s="629"/>
      <c r="D332" s="15" t="s">
        <v>2290</v>
      </c>
      <c r="E332" s="37">
        <f>E49+E50+E70+E79+E143</f>
        <v>1439727</v>
      </c>
      <c r="F332" s="7"/>
      <c r="G332" s="37">
        <f>G49+G50+G70+G79+G143</f>
        <v>135</v>
      </c>
      <c r="H332" s="7"/>
      <c r="I332" s="3"/>
      <c r="J332" s="8"/>
      <c r="K332" s="8"/>
    </row>
    <row r="333" spans="1:11" s="5" customFormat="1" ht="12.75">
      <c r="A333" s="603"/>
      <c r="B333" s="629" t="s">
        <v>868</v>
      </c>
      <c r="C333" s="629"/>
      <c r="D333" s="15" t="s">
        <v>2291</v>
      </c>
      <c r="E333" s="37">
        <f>E5+E6+E97+E124+E161+E171+E180+E231+E237+E260+E263+E271+E282</f>
        <v>4741925</v>
      </c>
      <c r="F333" s="7"/>
      <c r="G333" s="37">
        <f>G5+G6+G97+G124+G161+G171+G180+G231+G237+G260+G263+G271+G282</f>
        <v>338</v>
      </c>
      <c r="H333" s="7"/>
      <c r="I333" s="3"/>
      <c r="J333" s="8"/>
      <c r="K333" s="8"/>
    </row>
    <row r="334" spans="1:11" s="5" customFormat="1" ht="12.75">
      <c r="A334" s="603"/>
      <c r="B334" s="629" t="s">
        <v>866</v>
      </c>
      <c r="C334" s="629"/>
      <c r="D334" s="15" t="s">
        <v>2292</v>
      </c>
      <c r="E334" s="37">
        <f>E7+E8+E87+E90+E136+E160+E230+E273+E283+E289+E315</f>
        <v>4138804</v>
      </c>
      <c r="F334" s="7"/>
      <c r="G334" s="37">
        <f>G7+G8+G87+G90+G136+G160+G230+G273+G283+G289+G315</f>
        <v>290</v>
      </c>
      <c r="H334" s="7"/>
      <c r="I334" s="3"/>
      <c r="J334" s="8"/>
      <c r="K334" s="8"/>
    </row>
    <row r="335" spans="1:11" s="5" customFormat="1" ht="12.75">
      <c r="A335" s="603"/>
      <c r="B335" s="629" t="s">
        <v>2354</v>
      </c>
      <c r="C335" s="629"/>
      <c r="D335" s="15" t="s">
        <v>2293</v>
      </c>
      <c r="E335" s="37">
        <f>E141+E142+E209+E220+E274+E310</f>
        <v>1438727</v>
      </c>
      <c r="F335" s="7"/>
      <c r="G335" s="37">
        <f>G141+G142+G209+G220+G274+G310</f>
        <v>160</v>
      </c>
      <c r="H335" s="7"/>
      <c r="I335" s="3"/>
      <c r="J335" s="8"/>
      <c r="K335" s="8"/>
    </row>
    <row r="336" spans="1:11" s="5" customFormat="1" ht="12.75">
      <c r="A336" s="603"/>
      <c r="B336" s="630" t="s">
        <v>871</v>
      </c>
      <c r="C336" s="630"/>
      <c r="D336" s="54" t="s">
        <v>3044</v>
      </c>
      <c r="E336" s="39">
        <f>SUM(E337:E341)</f>
        <v>3664087</v>
      </c>
      <c r="F336" s="7"/>
      <c r="G336" s="39">
        <f>SUM(G337:G341)</f>
        <v>660</v>
      </c>
      <c r="H336" s="7"/>
      <c r="I336" s="3"/>
      <c r="J336" s="8"/>
      <c r="K336" s="8"/>
    </row>
    <row r="337" spans="1:11" s="5" customFormat="1" ht="12.75">
      <c r="A337" s="603"/>
      <c r="B337" s="629" t="s">
        <v>1272</v>
      </c>
      <c r="C337" s="629"/>
      <c r="D337" s="15" t="s">
        <v>2298</v>
      </c>
      <c r="E337" s="37">
        <f>E47+E48+E139+E208+E225+E242+E251+E286</f>
        <v>1494330</v>
      </c>
      <c r="F337" s="7"/>
      <c r="G337" s="37">
        <f>G47+G48+G139+G208+G225+G242+G251+G286</f>
        <v>240</v>
      </c>
      <c r="H337" s="7"/>
      <c r="I337" s="3"/>
      <c r="J337" s="8"/>
      <c r="K337" s="8"/>
    </row>
    <row r="338" spans="1:11" s="5" customFormat="1" ht="12.75">
      <c r="A338" s="603"/>
      <c r="B338" s="629" t="s">
        <v>3040</v>
      </c>
      <c r="C338" s="629"/>
      <c r="D338" s="15" t="s">
        <v>2152</v>
      </c>
      <c r="E338" s="47">
        <f>E147+E222</f>
        <v>343676</v>
      </c>
      <c r="F338" s="7"/>
      <c r="G338" s="47">
        <f>G147+G222</f>
        <v>55</v>
      </c>
      <c r="H338" s="7"/>
      <c r="I338" s="3"/>
      <c r="J338" s="8"/>
      <c r="K338" s="8"/>
    </row>
    <row r="339" spans="1:11" s="5" customFormat="1" ht="12.75">
      <c r="A339" s="603"/>
      <c r="B339" s="629" t="s">
        <v>870</v>
      </c>
      <c r="C339" s="629"/>
      <c r="D339" s="15" t="s">
        <v>2153</v>
      </c>
      <c r="E339" s="47">
        <f>E264+E266+E308+E309</f>
        <v>829682</v>
      </c>
      <c r="F339" s="7"/>
      <c r="G339" s="47">
        <f>G264+G266+G308+G309</f>
        <v>140</v>
      </c>
      <c r="H339" s="7"/>
      <c r="I339" s="3"/>
      <c r="J339" s="8"/>
      <c r="K339" s="8"/>
    </row>
    <row r="340" spans="1:11" s="5" customFormat="1" ht="12.75">
      <c r="A340" s="603"/>
      <c r="B340" s="629" t="s">
        <v>3040</v>
      </c>
      <c r="C340" s="629"/>
      <c r="D340" s="15" t="s">
        <v>2154</v>
      </c>
      <c r="E340" s="47">
        <f>E307+E321</f>
        <v>130072</v>
      </c>
      <c r="F340" s="7"/>
      <c r="G340" s="47">
        <f>G307+G321</f>
        <v>60</v>
      </c>
      <c r="H340" s="7"/>
      <c r="I340" s="3"/>
      <c r="J340" s="8"/>
      <c r="K340" s="8"/>
    </row>
    <row r="341" spans="1:11" s="5" customFormat="1" ht="12.75">
      <c r="A341" s="603"/>
      <c r="B341" s="629" t="s">
        <v>586</v>
      </c>
      <c r="C341" s="629"/>
      <c r="D341" s="15" t="s">
        <v>2155</v>
      </c>
      <c r="E341" s="37">
        <f>E63+E228+E248+E322+E324+E325</f>
        <v>866327</v>
      </c>
      <c r="F341" s="7"/>
      <c r="G341" s="37">
        <f>G63+G228+G248+G322+G324+G325</f>
        <v>165</v>
      </c>
      <c r="H341" s="7"/>
      <c r="I341" s="3"/>
      <c r="J341" s="8"/>
      <c r="K341" s="8"/>
    </row>
    <row r="342" spans="1:11" s="5" customFormat="1" ht="12.75">
      <c r="A342" s="603"/>
      <c r="B342" s="630" t="s">
        <v>875</v>
      </c>
      <c r="C342" s="630"/>
      <c r="D342" s="9" t="s">
        <v>3033</v>
      </c>
      <c r="E342" s="39">
        <f>SUM(E343:E346)</f>
        <v>9305866</v>
      </c>
      <c r="F342" s="7"/>
      <c r="G342" s="39">
        <f>SUM(G343:G346)</f>
        <v>1135</v>
      </c>
      <c r="H342" s="7"/>
      <c r="I342" s="3"/>
      <c r="J342" s="8"/>
      <c r="K342" s="8"/>
    </row>
    <row r="343" spans="1:11" s="5" customFormat="1" ht="12.75">
      <c r="A343" s="603"/>
      <c r="B343" s="629" t="s">
        <v>873</v>
      </c>
      <c r="C343" s="629"/>
      <c r="D343" s="15" t="s">
        <v>2294</v>
      </c>
      <c r="E343" s="37">
        <f>E27+E28+E29+E30+E31+E32+E36+E76+E92+E93+E107+E133+E151+E178+E210+E217+E236+E238+E240+E261+E265+E275+E290+E297+E300+E306+E318+E326</f>
        <v>6617833</v>
      </c>
      <c r="F343" s="7"/>
      <c r="G343" s="37">
        <f>G27+G28+G29+G30+G31+G32+G36+G76+G92+G93+G107+G133+G151+G178+G210+G217+G236+G238+G240+G261+G265+G275+G290+G297+G300+G306+G318+G326</f>
        <v>735</v>
      </c>
      <c r="H343" s="7"/>
      <c r="I343" s="3"/>
      <c r="J343" s="8"/>
      <c r="K343" s="8"/>
    </row>
    <row r="344" spans="1:11" s="5" customFormat="1" ht="12.75">
      <c r="A344" s="603"/>
      <c r="B344" s="629" t="s">
        <v>3038</v>
      </c>
      <c r="C344" s="629"/>
      <c r="D344" s="15" t="s">
        <v>2295</v>
      </c>
      <c r="E344" s="37">
        <f>E316</f>
        <v>150982</v>
      </c>
      <c r="F344" s="7"/>
      <c r="G344" s="37">
        <f>G316</f>
        <v>35</v>
      </c>
      <c r="H344" s="7"/>
      <c r="I344" s="3"/>
      <c r="J344" s="8"/>
      <c r="K344" s="8"/>
    </row>
    <row r="345" spans="1:11" s="5" customFormat="1" ht="12.75">
      <c r="A345" s="603"/>
      <c r="B345" s="629" t="s">
        <v>874</v>
      </c>
      <c r="C345" s="629"/>
      <c r="D345" s="15" t="s">
        <v>2296</v>
      </c>
      <c r="E345" s="37">
        <f>E37+E71+E123+E287+E302+E311+E312</f>
        <v>1054050</v>
      </c>
      <c r="F345" s="7"/>
      <c r="G345" s="37">
        <f>G37+G71+G123+G287+G302+G311+G312</f>
        <v>175</v>
      </c>
      <c r="H345" s="7"/>
      <c r="I345" s="3"/>
      <c r="J345" s="8"/>
      <c r="K345" s="8"/>
    </row>
    <row r="346" spans="1:11" s="5" customFormat="1" ht="12.75">
      <c r="A346" s="603"/>
      <c r="B346" s="629" t="s">
        <v>586</v>
      </c>
      <c r="C346" s="629"/>
      <c r="D346" s="15" t="s">
        <v>2297</v>
      </c>
      <c r="E346" s="37">
        <f>E35+E73+E80+E86+E88+E268</f>
        <v>1483001</v>
      </c>
      <c r="F346" s="7"/>
      <c r="G346" s="37">
        <f>G35+G73+G80+G86+G88+G268</f>
        <v>190</v>
      </c>
      <c r="H346" s="7"/>
      <c r="I346" s="3"/>
      <c r="J346" s="8"/>
      <c r="K346" s="8"/>
    </row>
    <row r="347" spans="1:11" s="5" customFormat="1" ht="12.75">
      <c r="A347" s="603"/>
      <c r="B347" s="630" t="s">
        <v>3366</v>
      </c>
      <c r="C347" s="630"/>
      <c r="D347" s="9" t="s">
        <v>3034</v>
      </c>
      <c r="E347" s="39">
        <f>SUM(E348:E351)</f>
        <v>28172023.87</v>
      </c>
      <c r="F347" s="7"/>
      <c r="G347" s="39">
        <f>SUM(G348:G351)</f>
        <v>1894</v>
      </c>
      <c r="H347" s="7"/>
      <c r="I347" s="3"/>
      <c r="J347" s="8"/>
      <c r="K347" s="8"/>
    </row>
    <row r="348" spans="1:11" s="5" customFormat="1" ht="12.75">
      <c r="A348" s="603"/>
      <c r="B348" s="629" t="s">
        <v>876</v>
      </c>
      <c r="C348" s="629"/>
      <c r="D348" s="15" t="s">
        <v>2156</v>
      </c>
      <c r="E348" s="37">
        <f>E38+E40+E41+E42+E66+E75+E85+E89+E91+E115+E131+E132+E137+E145+E146+E149+E152+E153+E174+E189+E196+E207+E216+E235+E254+E267+E278+E279+E285+E319</f>
        <v>10772815</v>
      </c>
      <c r="F348" s="7"/>
      <c r="G348" s="37">
        <f>G38+G40+G41+G42+G66+G75+G85+G89+G91+G115+G131+G132+G137+G145+G146+G149+G152+G153+G174+G189+G196+G207+G216+G235+G254+G267+G278+G279+G285+G319</f>
        <v>847</v>
      </c>
      <c r="H348" s="7"/>
      <c r="I348" s="3"/>
      <c r="J348" s="8"/>
      <c r="K348" s="8"/>
    </row>
    <row r="349" spans="1:11" s="5" customFormat="1" ht="12.75">
      <c r="A349" s="603"/>
      <c r="B349" s="629" t="s">
        <v>877</v>
      </c>
      <c r="C349" s="629"/>
      <c r="D349" s="8" t="s">
        <v>2157</v>
      </c>
      <c r="E349" s="37">
        <f>E56+E65+E100+E119+E155+E163+E212+E213+E252+E256</f>
        <v>6803523</v>
      </c>
      <c r="F349" s="7"/>
      <c r="G349" s="37">
        <f>G56+G65+G100+G119+G155+G163+G212+G213+G252+G256</f>
        <v>250</v>
      </c>
      <c r="H349" s="7"/>
      <c r="I349" s="3"/>
      <c r="J349" s="8"/>
      <c r="K349" s="8"/>
    </row>
    <row r="350" spans="1:11" s="5" customFormat="1" ht="12.75">
      <c r="A350" s="603"/>
      <c r="B350" s="629" t="s">
        <v>878</v>
      </c>
      <c r="C350" s="629"/>
      <c r="D350" s="15" t="s">
        <v>2158</v>
      </c>
      <c r="E350" s="37">
        <f>E67+E68+E109+E112+E120+E126+E134+E135+E158+E169+E206+E221+E226+E233+E243+E247+E253+E258+E323</f>
        <v>5410306</v>
      </c>
      <c r="F350" s="7"/>
      <c r="G350" s="37">
        <f>G67+G68+G109+G112+G120+G126+G134+G135+G158+G169+G206+G221+G226+G233+G243+G247+G253+G258+G323</f>
        <v>492</v>
      </c>
      <c r="H350" s="7"/>
      <c r="I350" s="3"/>
      <c r="J350" s="8"/>
      <c r="K350" s="8"/>
    </row>
    <row r="351" spans="1:11" s="5" customFormat="1" ht="12.75">
      <c r="A351" s="603"/>
      <c r="B351" s="629" t="s">
        <v>879</v>
      </c>
      <c r="C351" s="629"/>
      <c r="D351" s="15" t="s">
        <v>2159</v>
      </c>
      <c r="E351" s="37">
        <f>E24+E102+E104+E110+E114+E165+E166+E170+E191+E202+E234+E241</f>
        <v>5185379.87</v>
      </c>
      <c r="F351" s="7"/>
      <c r="G351" s="37">
        <f>G24+G102+G104+G110+G114+G165+G166+G170+G191+G202+G234+G241</f>
        <v>305</v>
      </c>
      <c r="H351" s="7"/>
      <c r="I351" s="3"/>
      <c r="J351" s="8"/>
      <c r="K351" s="8"/>
    </row>
    <row r="352" spans="1:11" s="5" customFormat="1" ht="12.75">
      <c r="A352" s="603"/>
      <c r="B352" s="630" t="s">
        <v>3367</v>
      </c>
      <c r="C352" s="630"/>
      <c r="D352" s="9" t="s">
        <v>761</v>
      </c>
      <c r="E352" s="39">
        <f>SUM(E353:E356)</f>
        <v>22389310</v>
      </c>
      <c r="F352" s="7"/>
      <c r="G352" s="39">
        <f>SUM(G353:G356)</f>
        <v>1835</v>
      </c>
      <c r="H352" s="7"/>
      <c r="I352" s="3"/>
      <c r="J352" s="8"/>
      <c r="K352" s="8"/>
    </row>
    <row r="353" spans="1:11" s="5" customFormat="1" ht="12.75">
      <c r="A353" s="603"/>
      <c r="B353" s="629" t="s">
        <v>2624</v>
      </c>
      <c r="C353" s="629"/>
      <c r="D353" s="15" t="s">
        <v>762</v>
      </c>
      <c r="E353" s="37">
        <f>E58+E59+E64+E69+E98+E103+E129+E144+E148+E154+E175+E187+E214+E250+E262+E269</f>
        <v>8919075</v>
      </c>
      <c r="F353" s="7"/>
      <c r="G353" s="37">
        <f>G58+G59+G64+G69+G98+G103+G129+G144+G148+G154+G175+G187+G214+G250+G262+G269</f>
        <v>430</v>
      </c>
      <c r="H353" s="7"/>
      <c r="I353" s="3"/>
      <c r="J353" s="8"/>
      <c r="K353" s="8"/>
    </row>
    <row r="354" spans="1:11" s="5" customFormat="1" ht="12.75">
      <c r="A354" s="603"/>
      <c r="B354" s="629" t="s">
        <v>2358</v>
      </c>
      <c r="C354" s="629"/>
      <c r="D354" s="15" t="s">
        <v>763</v>
      </c>
      <c r="E354" s="37">
        <f>E60+E117+E122+E157+E177+E205</f>
        <v>1406896</v>
      </c>
      <c r="F354" s="7"/>
      <c r="G354" s="37">
        <f>G60+G117+G122+G157+G177+G205</f>
        <v>145</v>
      </c>
      <c r="H354" s="7"/>
      <c r="I354" s="3"/>
      <c r="J354" s="8"/>
      <c r="K354" s="8"/>
    </row>
    <row r="355" spans="1:11" s="5" customFormat="1" ht="12.75">
      <c r="A355" s="603"/>
      <c r="B355" s="629" t="s">
        <v>881</v>
      </c>
      <c r="C355" s="629"/>
      <c r="D355" s="15" t="s">
        <v>764</v>
      </c>
      <c r="E355" s="37">
        <f>E78+E82+E84+E94+E113+E116+E156+E164+E167+E176+E183+E185+E198+E201+E204+E255</f>
        <v>3723935</v>
      </c>
      <c r="F355" s="7"/>
      <c r="G355" s="37">
        <f>G78+G82+G84+G94+G113+G116+G156+G164+G167+G176+G183+G185+G198+G201+G204+G255</f>
        <v>382</v>
      </c>
      <c r="H355" s="7"/>
      <c r="I355" s="3"/>
      <c r="J355" s="8"/>
      <c r="K355" s="8"/>
    </row>
    <row r="356" spans="1:11" s="5" customFormat="1" ht="12.75">
      <c r="A356" s="603"/>
      <c r="B356" s="629" t="s">
        <v>3369</v>
      </c>
      <c r="C356" s="629"/>
      <c r="D356" s="15" t="s">
        <v>1113</v>
      </c>
      <c r="E356" s="37">
        <f>E19+E20+E21+E33+E34+E39+E43+E44+E45+E46+E53+E55+E61+E62+E81+E83+E99+E105+E106+E162+E173+E179+E182+E190+E199+E200+E211+E224+E227+E229+E281+E296+E301+E303+E305+E317</f>
        <v>8339404</v>
      </c>
      <c r="F356" s="7"/>
      <c r="G356" s="37">
        <f>G19+G20+G21+G33+G34+G39+G43+G44+G45+G46+G53+G55+G61+G62+G81+G83+G99+G105+G106+G162+G173+G179+G182+G190+G199+G200+G211+G224+G227+G229+G281+G296+G301+G303+G305+G317</f>
        <v>878</v>
      </c>
      <c r="H356" s="7"/>
      <c r="I356" s="3"/>
      <c r="J356" s="8"/>
      <c r="K356" s="8"/>
    </row>
    <row r="357" spans="1:11" s="5" customFormat="1" ht="12.75">
      <c r="A357" s="603"/>
      <c r="B357" s="630" t="s">
        <v>3365</v>
      </c>
      <c r="C357" s="630"/>
      <c r="D357" s="9" t="s">
        <v>3025</v>
      </c>
      <c r="E357" s="39">
        <f>SUM(E358:E362)</f>
        <v>20676693.137000002</v>
      </c>
      <c r="F357" s="7"/>
      <c r="G357" s="39">
        <f>SUM(G358:G362)</f>
        <v>1597</v>
      </c>
      <c r="H357" s="7"/>
      <c r="I357" s="3"/>
      <c r="J357" s="8"/>
      <c r="K357" s="8"/>
    </row>
    <row r="358" spans="1:11" s="5" customFormat="1" ht="12.75">
      <c r="A358" s="603"/>
      <c r="B358" s="629" t="s">
        <v>2625</v>
      </c>
      <c r="C358" s="629"/>
      <c r="D358" s="8" t="s">
        <v>3026</v>
      </c>
      <c r="E358" s="37">
        <f>E108+E121+E138+E172+E197+E276</f>
        <v>1680296</v>
      </c>
      <c r="F358" s="7"/>
      <c r="G358" s="37">
        <f>G108+G121+G138+G172+G197+G276</f>
        <v>165</v>
      </c>
      <c r="H358" s="7"/>
      <c r="I358" s="3"/>
      <c r="J358" s="8"/>
      <c r="K358" s="8"/>
    </row>
    <row r="359" spans="1:11" s="5" customFormat="1" ht="12.75">
      <c r="A359" s="603"/>
      <c r="B359" s="629" t="s">
        <v>2626</v>
      </c>
      <c r="C359" s="629"/>
      <c r="D359" s="15" t="s">
        <v>3027</v>
      </c>
      <c r="E359" s="37">
        <f>E17+E18+E52+E54+E72+E77+E159+E193+E194+E195+E244+E270+E280+E292</f>
        <v>4439557</v>
      </c>
      <c r="F359" s="7"/>
      <c r="G359" s="37">
        <f>G17+G18+G52+G54+G72+G77+G159+G193+G194+G195+G244+G270+G280+G292</f>
        <v>350</v>
      </c>
      <c r="H359" s="7"/>
      <c r="I359" s="3"/>
      <c r="J359" s="8"/>
      <c r="K359" s="8"/>
    </row>
    <row r="360" spans="1:11" s="5" customFormat="1" ht="12.75">
      <c r="A360" s="603"/>
      <c r="B360" s="629" t="s">
        <v>2627</v>
      </c>
      <c r="C360" s="629"/>
      <c r="D360" s="15" t="s">
        <v>3028</v>
      </c>
      <c r="E360" s="37">
        <f>E12+E13+E14+E15+E16+E51+E96+E125+E127+E130+E150+E168+E184+E192+E219+E239+E245+E246+E259+E284+E291+E298+E299+E313+E314+E320</f>
        <v>6011839</v>
      </c>
      <c r="F360" s="7"/>
      <c r="G360" s="37">
        <f>G12+G13+G14+G15+G16+G51+G96+G125+G127+G130+G150+G168+G184+G192+G219+G239+G245+G246+G259+G284+G291+G298+G299+G313+G314+G320</f>
        <v>617</v>
      </c>
      <c r="H360" s="7"/>
      <c r="I360" s="3"/>
      <c r="J360" s="8"/>
      <c r="K360" s="8"/>
    </row>
    <row r="361" spans="1:11" s="5" customFormat="1" ht="12.75">
      <c r="A361" s="603"/>
      <c r="B361" s="629" t="s">
        <v>3038</v>
      </c>
      <c r="C361" s="629"/>
      <c r="D361" s="15" t="s">
        <v>3029</v>
      </c>
      <c r="E361" s="37">
        <f>E111</f>
        <v>888000</v>
      </c>
      <c r="F361" s="7"/>
      <c r="G361" s="37">
        <f>G111</f>
        <v>35</v>
      </c>
      <c r="H361" s="7"/>
      <c r="I361" s="3"/>
      <c r="J361" s="8"/>
      <c r="K361" s="8"/>
    </row>
    <row r="362" spans="1:11" s="5" customFormat="1" ht="13.5" thickBot="1">
      <c r="A362" s="603"/>
      <c r="B362" s="629" t="s">
        <v>2629</v>
      </c>
      <c r="C362" s="629"/>
      <c r="D362" s="15" t="s">
        <v>3030</v>
      </c>
      <c r="E362" s="37">
        <f>E9+E10+E11+E22+E23+E25+E26+E101+E118+E128+E140+E188+E203+E218+E232+E257+E294+E304</f>
        <v>7657001.137</v>
      </c>
      <c r="F362" s="7"/>
      <c r="G362" s="37">
        <f>G9+G10+G11+G22+G23+G25+G26+G101+G118+G128+G140+G188+G203+G218+G232+G257+G294+G304</f>
        <v>430</v>
      </c>
      <c r="H362" s="7"/>
      <c r="I362" s="3"/>
      <c r="J362" s="8"/>
      <c r="K362" s="8"/>
    </row>
    <row r="363" spans="1:11" s="5" customFormat="1" ht="14.25" thickBot="1" thickTop="1">
      <c r="A363" s="45"/>
      <c r="B363" s="632" t="s">
        <v>3368</v>
      </c>
      <c r="C363" s="633"/>
      <c r="D363" s="45"/>
      <c r="E363" s="45">
        <f>E330+E336+E342+E347+E352+E357</f>
        <v>99446811.007</v>
      </c>
      <c r="F363" s="45"/>
      <c r="G363" s="45">
        <f>G330+G336+G342+G347+G352+G357</f>
        <v>8371</v>
      </c>
      <c r="H363" s="45"/>
      <c r="I363" s="45"/>
      <c r="J363" s="45"/>
      <c r="K363" s="45"/>
    </row>
    <row r="366" spans="2:11" ht="12.75">
      <c r="B366" s="627" t="s">
        <v>2260</v>
      </c>
      <c r="C366" s="627"/>
      <c r="D366" s="627"/>
      <c r="E366" s="627"/>
      <c r="F366" s="627"/>
      <c r="G366" s="627"/>
      <c r="H366" s="627"/>
      <c r="I366" s="627"/>
      <c r="J366" s="627"/>
      <c r="K366" s="627"/>
    </row>
    <row r="367" spans="2:11" ht="12.75">
      <c r="B367" s="627" t="s">
        <v>1239</v>
      </c>
      <c r="C367" s="627"/>
      <c r="D367" s="627"/>
      <c r="E367" s="627"/>
      <c r="F367" s="627"/>
      <c r="G367" s="627"/>
      <c r="H367" s="627"/>
      <c r="I367" s="627"/>
      <c r="J367" s="627"/>
      <c r="K367" s="627"/>
    </row>
    <row r="368" spans="2:11" ht="12.75">
      <c r="B368" s="18"/>
      <c r="C368" s="18"/>
      <c r="D368" s="18"/>
      <c r="E368" s="18"/>
      <c r="F368" s="18"/>
      <c r="G368" s="18"/>
      <c r="H368" s="18"/>
      <c r="I368" s="18"/>
      <c r="J368" s="18"/>
      <c r="K368" s="18"/>
    </row>
    <row r="369" spans="1:12" ht="64.5" thickBot="1">
      <c r="A369" s="11" t="s">
        <v>1096</v>
      </c>
      <c r="B369" s="11" t="s">
        <v>1271</v>
      </c>
      <c r="C369" s="12" t="s">
        <v>481</v>
      </c>
      <c r="D369" s="12" t="s">
        <v>477</v>
      </c>
      <c r="E369" s="13" t="s">
        <v>160</v>
      </c>
      <c r="F369" s="13" t="s">
        <v>1104</v>
      </c>
      <c r="G369" s="11" t="s">
        <v>1765</v>
      </c>
      <c r="H369" s="13" t="s">
        <v>1764</v>
      </c>
      <c r="I369" s="13" t="s">
        <v>3066</v>
      </c>
      <c r="J369" s="11" t="s">
        <v>3071</v>
      </c>
      <c r="K369" s="634" t="s">
        <v>2399</v>
      </c>
      <c r="L369" s="635"/>
    </row>
    <row r="370" spans="1:12" s="5" customFormat="1" ht="25.5" customHeight="1" thickTop="1">
      <c r="A370" s="14">
        <v>1</v>
      </c>
      <c r="B370" s="14" t="s">
        <v>3337</v>
      </c>
      <c r="C370" s="9" t="s">
        <v>1783</v>
      </c>
      <c r="D370" s="8" t="s">
        <v>1460</v>
      </c>
      <c r="E370" s="37">
        <f>192626.482</f>
        <v>192626.482</v>
      </c>
      <c r="F370" s="7" t="s">
        <v>1766</v>
      </c>
      <c r="G370" s="7">
        <v>10</v>
      </c>
      <c r="H370" s="7" t="s">
        <v>1461</v>
      </c>
      <c r="I370" s="7" t="s">
        <v>1461</v>
      </c>
      <c r="J370" s="8" t="s">
        <v>1462</v>
      </c>
      <c r="K370" s="654" t="s">
        <v>1993</v>
      </c>
      <c r="L370" s="655"/>
    </row>
    <row r="371" spans="1:12" s="5" customFormat="1" ht="25.5" customHeight="1">
      <c r="A371" s="14">
        <f>A370+1</f>
        <v>2</v>
      </c>
      <c r="B371" s="14" t="s">
        <v>3338</v>
      </c>
      <c r="C371" s="9" t="s">
        <v>1783</v>
      </c>
      <c r="D371" s="8" t="s">
        <v>1463</v>
      </c>
      <c r="E371" s="37">
        <f>276344.581</f>
        <v>276344.581</v>
      </c>
      <c r="F371" s="7" t="s">
        <v>480</v>
      </c>
      <c r="G371" s="7">
        <v>10</v>
      </c>
      <c r="H371" s="7" t="s">
        <v>1461</v>
      </c>
      <c r="I371" s="7" t="s">
        <v>1461</v>
      </c>
      <c r="J371" s="8" t="s">
        <v>1464</v>
      </c>
      <c r="K371" s="654" t="s">
        <v>1993</v>
      </c>
      <c r="L371" s="655"/>
    </row>
    <row r="372" spans="1:12" s="5" customFormat="1" ht="25.5" customHeight="1">
      <c r="A372" s="14">
        <v>3</v>
      </c>
      <c r="B372" s="14" t="s">
        <v>1469</v>
      </c>
      <c r="C372" s="9" t="s">
        <v>1772</v>
      </c>
      <c r="D372" s="8" t="s">
        <v>1773</v>
      </c>
      <c r="E372" s="37">
        <f>160330+132880</f>
        <v>293210</v>
      </c>
      <c r="F372" s="7" t="s">
        <v>1774</v>
      </c>
      <c r="G372" s="7">
        <v>15</v>
      </c>
      <c r="H372" s="7" t="s">
        <v>1771</v>
      </c>
      <c r="I372" s="7" t="s">
        <v>1771</v>
      </c>
      <c r="J372" s="8" t="s">
        <v>627</v>
      </c>
      <c r="K372" s="654" t="s">
        <v>3376</v>
      </c>
      <c r="L372" s="655"/>
    </row>
    <row r="373" spans="1:12" s="5" customFormat="1" ht="25.5" customHeight="1">
      <c r="A373" s="14">
        <f>A372+1</f>
        <v>4</v>
      </c>
      <c r="B373" s="14" t="s">
        <v>1501</v>
      </c>
      <c r="C373" s="9" t="s">
        <v>1927</v>
      </c>
      <c r="D373" s="8" t="s">
        <v>1929</v>
      </c>
      <c r="E373" s="37">
        <v>751310</v>
      </c>
      <c r="F373" s="7" t="s">
        <v>623</v>
      </c>
      <c r="G373" s="7">
        <v>35</v>
      </c>
      <c r="H373" s="7" t="s">
        <v>2604</v>
      </c>
      <c r="I373" s="7" t="s">
        <v>2604</v>
      </c>
      <c r="J373" s="8" t="s">
        <v>2323</v>
      </c>
      <c r="K373" s="643" t="s">
        <v>1992</v>
      </c>
      <c r="L373" s="644"/>
    </row>
    <row r="374" spans="1:12" s="5" customFormat="1" ht="25.5" customHeight="1">
      <c r="A374" s="14">
        <v>5</v>
      </c>
      <c r="B374" s="14" t="s">
        <v>1519</v>
      </c>
      <c r="C374" s="9" t="s">
        <v>1537</v>
      </c>
      <c r="D374" s="8" t="s">
        <v>1536</v>
      </c>
      <c r="E374" s="37">
        <v>114096</v>
      </c>
      <c r="F374" s="7" t="s">
        <v>623</v>
      </c>
      <c r="G374" s="7">
        <v>20</v>
      </c>
      <c r="H374" s="7" t="s">
        <v>746</v>
      </c>
      <c r="I374" s="7" t="s">
        <v>746</v>
      </c>
      <c r="J374" s="15" t="s">
        <v>1535</v>
      </c>
      <c r="K374" s="643" t="s">
        <v>1994</v>
      </c>
      <c r="L374" s="644"/>
    </row>
    <row r="375" spans="1:12" s="5" customFormat="1" ht="25.5">
      <c r="A375" s="14">
        <f>A374+1</f>
        <v>6</v>
      </c>
      <c r="B375" s="14" t="s">
        <v>2441</v>
      </c>
      <c r="C375" s="9" t="s">
        <v>1783</v>
      </c>
      <c r="D375" s="8" t="s">
        <v>1781</v>
      </c>
      <c r="E375" s="37">
        <f>189860</f>
        <v>189860</v>
      </c>
      <c r="F375" s="7" t="s">
        <v>1618</v>
      </c>
      <c r="G375" s="7">
        <v>35</v>
      </c>
      <c r="H375" s="7" t="s">
        <v>1782</v>
      </c>
      <c r="I375" s="7" t="s">
        <v>1782</v>
      </c>
      <c r="J375" s="8" t="s">
        <v>1784</v>
      </c>
      <c r="K375" s="643"/>
      <c r="L375" s="644"/>
    </row>
    <row r="376" spans="1:12" s="5" customFormat="1" ht="25.5">
      <c r="A376" s="14">
        <v>7</v>
      </c>
      <c r="B376" s="14" t="s">
        <v>2443</v>
      </c>
      <c r="C376" s="9" t="s">
        <v>1791</v>
      </c>
      <c r="D376" s="8" t="s">
        <v>1790</v>
      </c>
      <c r="E376" s="37">
        <v>85016</v>
      </c>
      <c r="F376" s="7" t="s">
        <v>737</v>
      </c>
      <c r="G376" s="7">
        <v>20</v>
      </c>
      <c r="H376" s="7" t="s">
        <v>2284</v>
      </c>
      <c r="I376" s="7" t="s">
        <v>2284</v>
      </c>
      <c r="J376" s="15" t="s">
        <v>1789</v>
      </c>
      <c r="K376" s="643"/>
      <c r="L376" s="644"/>
    </row>
    <row r="377" spans="1:12" s="5" customFormat="1" ht="25.5">
      <c r="A377" s="14">
        <f>A376+1</f>
        <v>8</v>
      </c>
      <c r="B377" s="14" t="s">
        <v>37</v>
      </c>
      <c r="C377" s="9" t="s">
        <v>1964</v>
      </c>
      <c r="D377" s="8" t="s">
        <v>1963</v>
      </c>
      <c r="E377" s="37">
        <v>178410</v>
      </c>
      <c r="F377" s="7" t="s">
        <v>1774</v>
      </c>
      <c r="G377" s="7">
        <v>25</v>
      </c>
      <c r="H377" s="7" t="s">
        <v>2163</v>
      </c>
      <c r="I377" s="7" t="s">
        <v>2163</v>
      </c>
      <c r="J377" s="15" t="s">
        <v>1962</v>
      </c>
      <c r="K377" s="643"/>
      <c r="L377" s="644"/>
    </row>
    <row r="378" spans="1:12" s="5" customFormat="1" ht="25.5">
      <c r="A378" s="14">
        <v>9</v>
      </c>
      <c r="B378" s="14" t="s">
        <v>67</v>
      </c>
      <c r="C378" s="9" t="s">
        <v>3020</v>
      </c>
      <c r="D378" s="8" t="s">
        <v>3019</v>
      </c>
      <c r="E378" s="37">
        <v>423000</v>
      </c>
      <c r="F378" s="7" t="s">
        <v>1774</v>
      </c>
      <c r="G378" s="7">
        <v>25</v>
      </c>
      <c r="H378" s="7" t="s">
        <v>3021</v>
      </c>
      <c r="I378" s="7" t="s">
        <v>3021</v>
      </c>
      <c r="J378" s="15" t="s">
        <v>3018</v>
      </c>
      <c r="K378" s="643"/>
      <c r="L378" s="644"/>
    </row>
    <row r="379" spans="1:12" s="5" customFormat="1" ht="38.25">
      <c r="A379" s="14">
        <v>10</v>
      </c>
      <c r="B379" s="14" t="s">
        <v>258</v>
      </c>
      <c r="C379" s="9" t="s">
        <v>1332</v>
      </c>
      <c r="D379" s="8" t="s">
        <v>1330</v>
      </c>
      <c r="E379" s="7">
        <v>192500</v>
      </c>
      <c r="F379" s="7" t="s">
        <v>1331</v>
      </c>
      <c r="G379" s="7">
        <v>25</v>
      </c>
      <c r="H379" s="7" t="s">
        <v>1334</v>
      </c>
      <c r="I379" s="15" t="s">
        <v>1333</v>
      </c>
      <c r="J379" s="14" t="s">
        <v>1329</v>
      </c>
      <c r="K379" s="643" t="s">
        <v>3377</v>
      </c>
      <c r="L379" s="644"/>
    </row>
    <row r="380" spans="1:12" s="5" customFormat="1" ht="25.5">
      <c r="A380" s="14">
        <v>11</v>
      </c>
      <c r="B380" s="14" t="s">
        <v>1904</v>
      </c>
      <c r="C380" s="9" t="s">
        <v>1393</v>
      </c>
      <c r="D380" s="8" t="s">
        <v>1390</v>
      </c>
      <c r="E380" s="37">
        <v>475469</v>
      </c>
      <c r="F380" s="7" t="s">
        <v>2311</v>
      </c>
      <c r="G380" s="7">
        <v>25</v>
      </c>
      <c r="H380" s="7" t="s">
        <v>1391</v>
      </c>
      <c r="I380" s="7" t="s">
        <v>1392</v>
      </c>
      <c r="J380" s="15" t="s">
        <v>1389</v>
      </c>
      <c r="K380" s="643" t="s">
        <v>3377</v>
      </c>
      <c r="L380" s="644"/>
    </row>
    <row r="381" spans="1:12" s="5" customFormat="1" ht="25.5" customHeight="1">
      <c r="A381" s="14">
        <f>A380+1</f>
        <v>12</v>
      </c>
      <c r="B381" s="14" t="s">
        <v>1291</v>
      </c>
      <c r="C381" s="9" t="s">
        <v>138</v>
      </c>
      <c r="D381" s="8" t="s">
        <v>135</v>
      </c>
      <c r="E381" s="37">
        <v>161406</v>
      </c>
      <c r="F381" s="7" t="s">
        <v>136</v>
      </c>
      <c r="G381" s="7">
        <v>25</v>
      </c>
      <c r="H381" s="7" t="s">
        <v>137</v>
      </c>
      <c r="I381" s="7" t="s">
        <v>137</v>
      </c>
      <c r="J381" s="15" t="s">
        <v>134</v>
      </c>
      <c r="K381" s="643" t="s">
        <v>3377</v>
      </c>
      <c r="L381" s="644"/>
    </row>
    <row r="382" spans="1:12" s="5" customFormat="1" ht="38.25">
      <c r="A382" s="14">
        <v>7</v>
      </c>
      <c r="B382" s="14" t="s">
        <v>1293</v>
      </c>
      <c r="C382" s="9" t="s">
        <v>146</v>
      </c>
      <c r="D382" s="8" t="s">
        <v>148</v>
      </c>
      <c r="E382" s="37">
        <v>206501</v>
      </c>
      <c r="F382" s="7" t="s">
        <v>1618</v>
      </c>
      <c r="G382" s="7">
        <v>25</v>
      </c>
      <c r="H382" s="7" t="s">
        <v>144</v>
      </c>
      <c r="I382" s="7" t="s">
        <v>145</v>
      </c>
      <c r="J382" s="15" t="s">
        <v>143</v>
      </c>
      <c r="K382" s="643" t="s">
        <v>3377</v>
      </c>
      <c r="L382" s="644"/>
    </row>
  </sheetData>
  <sheetProtection/>
  <mergeCells count="52">
    <mergeCell ref="K380:L380"/>
    <mergeCell ref="K381:L381"/>
    <mergeCell ref="K382:L382"/>
    <mergeCell ref="K372:L372"/>
    <mergeCell ref="K375:L375"/>
    <mergeCell ref="K376:L376"/>
    <mergeCell ref="K377:L377"/>
    <mergeCell ref="K378:L378"/>
    <mergeCell ref="K379:L379"/>
    <mergeCell ref="K374:L374"/>
    <mergeCell ref="B344:C344"/>
    <mergeCell ref="B363:C363"/>
    <mergeCell ref="B343:C343"/>
    <mergeCell ref="B345:C345"/>
    <mergeCell ref="B346:C346"/>
    <mergeCell ref="B347:C347"/>
    <mergeCell ref="B348:C348"/>
    <mergeCell ref="B349:C349"/>
    <mergeCell ref="B350:C350"/>
    <mergeCell ref="B351:C351"/>
    <mergeCell ref="B330:C330"/>
    <mergeCell ref="B331:C331"/>
    <mergeCell ref="A1:I1"/>
    <mergeCell ref="A2:I2"/>
    <mergeCell ref="B332:C332"/>
    <mergeCell ref="B333:C333"/>
    <mergeCell ref="B334:C334"/>
    <mergeCell ref="B335:C335"/>
    <mergeCell ref="B336:C336"/>
    <mergeCell ref="B337:C337"/>
    <mergeCell ref="B338:C338"/>
    <mergeCell ref="B341:C341"/>
    <mergeCell ref="B342:C342"/>
    <mergeCell ref="B340:C340"/>
    <mergeCell ref="B339:C339"/>
    <mergeCell ref="B367:K367"/>
    <mergeCell ref="B357:C357"/>
    <mergeCell ref="B352:C352"/>
    <mergeCell ref="B353:C353"/>
    <mergeCell ref="B354:C354"/>
    <mergeCell ref="B355:C355"/>
    <mergeCell ref="B356:C356"/>
    <mergeCell ref="K369:L369"/>
    <mergeCell ref="B358:C358"/>
    <mergeCell ref="B359:C359"/>
    <mergeCell ref="B360:C360"/>
    <mergeCell ref="B361:C361"/>
    <mergeCell ref="K373:L373"/>
    <mergeCell ref="K371:L371"/>
    <mergeCell ref="K370:L370"/>
    <mergeCell ref="B362:C362"/>
    <mergeCell ref="B366:K366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85" r:id="rId3"/>
  <rowBreaks count="1" manualBreakCount="1">
    <brk id="329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7109375" style="565" customWidth="1"/>
    <col min="2" max="2" width="8.7109375" style="565" customWidth="1"/>
    <col min="3" max="4" width="25.7109375" style="565" customWidth="1"/>
    <col min="5" max="5" width="11.7109375" style="565" customWidth="1"/>
    <col min="6" max="6" width="17.7109375" style="565" customWidth="1"/>
    <col min="7" max="7" width="10.7109375" style="566" customWidth="1"/>
    <col min="8" max="9" width="15.7109375" style="565" customWidth="1"/>
    <col min="10" max="10" width="20.7109375" style="565" customWidth="1"/>
    <col min="11" max="11" width="8.7109375" style="565" customWidth="1"/>
    <col min="12" max="12" width="20.7109375" style="565" customWidth="1"/>
    <col min="13" max="16384" width="9.140625" style="565" customWidth="1"/>
  </cols>
  <sheetData>
    <row r="1" spans="1:11" ht="15.75">
      <c r="A1" s="627" t="s">
        <v>1240</v>
      </c>
      <c r="B1" s="627"/>
      <c r="C1" s="627"/>
      <c r="D1" s="627"/>
      <c r="E1" s="627"/>
      <c r="F1" s="627"/>
      <c r="G1" s="627"/>
      <c r="H1" s="627"/>
      <c r="I1" s="627"/>
      <c r="K1" s="57" t="s">
        <v>2131</v>
      </c>
    </row>
    <row r="2" spans="1:10" s="5" customFormat="1" ht="12.75">
      <c r="A2" s="627" t="s">
        <v>1241</v>
      </c>
      <c r="B2" s="627"/>
      <c r="C2" s="627"/>
      <c r="D2" s="627"/>
      <c r="E2" s="627"/>
      <c r="F2" s="627"/>
      <c r="G2" s="627"/>
      <c r="H2" s="627"/>
      <c r="I2" s="627"/>
      <c r="J2" s="18"/>
    </row>
    <row r="3" spans="2:10" s="5" customFormat="1" ht="12.75">
      <c r="B3" s="2"/>
      <c r="C3" s="2"/>
      <c r="D3" s="2"/>
      <c r="E3" s="2"/>
      <c r="F3" s="2"/>
      <c r="G3" s="2"/>
      <c r="H3" s="2"/>
      <c r="I3" s="2"/>
      <c r="J3" s="2"/>
    </row>
    <row r="4" spans="1:11" s="5" customFormat="1" ht="51.75" thickBot="1">
      <c r="A4" s="11" t="s">
        <v>1096</v>
      </c>
      <c r="B4" s="11" t="s">
        <v>1271</v>
      </c>
      <c r="C4" s="12" t="s">
        <v>481</v>
      </c>
      <c r="D4" s="12" t="s">
        <v>477</v>
      </c>
      <c r="E4" s="13" t="s">
        <v>160</v>
      </c>
      <c r="F4" s="13" t="s">
        <v>1104</v>
      </c>
      <c r="G4" s="11" t="s">
        <v>1765</v>
      </c>
      <c r="H4" s="13" t="s">
        <v>1764</v>
      </c>
      <c r="I4" s="13" t="s">
        <v>159</v>
      </c>
      <c r="J4" s="11" t="s">
        <v>2321</v>
      </c>
      <c r="K4" s="560" t="s">
        <v>582</v>
      </c>
    </row>
    <row r="5" spans="1:11" s="5" customFormat="1" ht="26.25" thickTop="1">
      <c r="A5" s="3">
        <v>1</v>
      </c>
      <c r="B5" s="14" t="s">
        <v>3355</v>
      </c>
      <c r="C5" s="9" t="s">
        <v>2716</v>
      </c>
      <c r="D5" s="8" t="s">
        <v>729</v>
      </c>
      <c r="E5" s="37">
        <f>88568.733+0.016*1000^2</f>
        <v>104568.733</v>
      </c>
      <c r="F5" s="10" t="s">
        <v>3357</v>
      </c>
      <c r="G5" s="7">
        <v>15</v>
      </c>
      <c r="H5" s="7" t="s">
        <v>987</v>
      </c>
      <c r="I5" s="563" t="s">
        <v>3216</v>
      </c>
      <c r="J5" s="8" t="s">
        <v>2718</v>
      </c>
      <c r="K5" s="10" t="s">
        <v>3215</v>
      </c>
    </row>
    <row r="6" spans="1:11" s="5" customFormat="1" ht="25.5">
      <c r="A6" s="14">
        <f>A5+1</f>
        <v>2</v>
      </c>
      <c r="B6" s="14" t="s">
        <v>3356</v>
      </c>
      <c r="C6" s="9" t="s">
        <v>2716</v>
      </c>
      <c r="D6" s="8" t="s">
        <v>730</v>
      </c>
      <c r="E6" s="37">
        <f>80736.423</f>
        <v>80736.423</v>
      </c>
      <c r="F6" s="10" t="s">
        <v>3357</v>
      </c>
      <c r="G6" s="7">
        <v>35</v>
      </c>
      <c r="H6" s="7" t="s">
        <v>987</v>
      </c>
      <c r="I6" s="563" t="s">
        <v>3216</v>
      </c>
      <c r="J6" s="8" t="s">
        <v>2719</v>
      </c>
      <c r="K6" s="10" t="s">
        <v>3215</v>
      </c>
    </row>
    <row r="7" spans="1:11" s="5" customFormat="1" ht="38.25">
      <c r="A7" s="14">
        <f aca="true" t="shared" si="0" ref="A7:A63">A6+1</f>
        <v>3</v>
      </c>
      <c r="B7" s="14" t="s">
        <v>988</v>
      </c>
      <c r="C7" s="9" t="s">
        <v>725</v>
      </c>
      <c r="D7" s="8" t="s">
        <v>728</v>
      </c>
      <c r="E7" s="37"/>
      <c r="F7" s="10" t="s">
        <v>3357</v>
      </c>
      <c r="G7" s="7">
        <v>25</v>
      </c>
      <c r="H7" s="10" t="s">
        <v>723</v>
      </c>
      <c r="I7" s="3" t="s">
        <v>724</v>
      </c>
      <c r="J7" s="15" t="s">
        <v>1914</v>
      </c>
      <c r="K7" s="7" t="s">
        <v>3214</v>
      </c>
    </row>
    <row r="8" spans="1:11" s="5" customFormat="1" ht="25.5">
      <c r="A8" s="14">
        <f t="shared" si="0"/>
        <v>4</v>
      </c>
      <c r="B8" s="14" t="s">
        <v>989</v>
      </c>
      <c r="C8" s="9" t="s">
        <v>725</v>
      </c>
      <c r="D8" s="8" t="s">
        <v>727</v>
      </c>
      <c r="E8" s="37">
        <v>252104</v>
      </c>
      <c r="F8" s="10" t="s">
        <v>3357</v>
      </c>
      <c r="G8" s="7">
        <v>35</v>
      </c>
      <c r="H8" s="10" t="s">
        <v>723</v>
      </c>
      <c r="I8" s="3" t="s">
        <v>724</v>
      </c>
      <c r="J8" s="8" t="s">
        <v>726</v>
      </c>
      <c r="K8" s="10" t="s">
        <v>3214</v>
      </c>
    </row>
    <row r="9" spans="1:11" s="5" customFormat="1" ht="25.5">
      <c r="A9" s="14">
        <f t="shared" si="0"/>
        <v>5</v>
      </c>
      <c r="B9" s="14" t="s">
        <v>990</v>
      </c>
      <c r="C9" s="9" t="s">
        <v>725</v>
      </c>
      <c r="D9" s="8" t="s">
        <v>732</v>
      </c>
      <c r="E9" s="37">
        <v>97045.5</v>
      </c>
      <c r="F9" s="10" t="s">
        <v>3357</v>
      </c>
      <c r="G9" s="7">
        <v>35</v>
      </c>
      <c r="H9" s="10" t="s">
        <v>723</v>
      </c>
      <c r="I9" s="3" t="s">
        <v>724</v>
      </c>
      <c r="J9" s="8" t="s">
        <v>731</v>
      </c>
      <c r="K9" s="10" t="s">
        <v>3214</v>
      </c>
    </row>
    <row r="10" spans="1:11" s="5" customFormat="1" ht="25.5">
      <c r="A10" s="14">
        <f t="shared" si="0"/>
        <v>6</v>
      </c>
      <c r="B10" s="14" t="s">
        <v>991</v>
      </c>
      <c r="C10" s="9" t="s">
        <v>734</v>
      </c>
      <c r="D10" s="8" t="s">
        <v>736</v>
      </c>
      <c r="E10" s="37">
        <v>50000</v>
      </c>
      <c r="F10" s="10" t="s">
        <v>3357</v>
      </c>
      <c r="G10" s="7">
        <v>30</v>
      </c>
      <c r="H10" s="7" t="s">
        <v>735</v>
      </c>
      <c r="I10" s="10" t="s">
        <v>173</v>
      </c>
      <c r="J10" s="15" t="s">
        <v>733</v>
      </c>
      <c r="K10" s="7" t="s">
        <v>1183</v>
      </c>
    </row>
    <row r="11" spans="1:11" s="5" customFormat="1" ht="25.5">
      <c r="A11" s="14">
        <f t="shared" si="0"/>
        <v>7</v>
      </c>
      <c r="B11" s="14" t="s">
        <v>992</v>
      </c>
      <c r="C11" s="9" t="s">
        <v>1279</v>
      </c>
      <c r="D11" s="8" t="s">
        <v>739</v>
      </c>
      <c r="E11" s="37">
        <v>11200</v>
      </c>
      <c r="F11" s="7" t="s">
        <v>737</v>
      </c>
      <c r="G11" s="7">
        <v>25</v>
      </c>
      <c r="H11" s="7" t="s">
        <v>2326</v>
      </c>
      <c r="I11" s="7" t="s">
        <v>2326</v>
      </c>
      <c r="J11" s="15" t="s">
        <v>738</v>
      </c>
      <c r="K11" s="7" t="s">
        <v>1158</v>
      </c>
    </row>
    <row r="12" spans="1:11" s="5" customFormat="1" ht="25.5">
      <c r="A12" s="14">
        <f t="shared" si="0"/>
        <v>8</v>
      </c>
      <c r="B12" s="14" t="s">
        <v>993</v>
      </c>
      <c r="C12" s="9" t="s">
        <v>1279</v>
      </c>
      <c r="D12" s="8" t="s">
        <v>741</v>
      </c>
      <c r="E12" s="37">
        <v>15500</v>
      </c>
      <c r="F12" s="7" t="s">
        <v>737</v>
      </c>
      <c r="G12" s="7">
        <v>25</v>
      </c>
      <c r="H12" s="7" t="s">
        <v>2326</v>
      </c>
      <c r="I12" s="7" t="s">
        <v>2326</v>
      </c>
      <c r="J12" s="15" t="s">
        <v>740</v>
      </c>
      <c r="K12" s="7" t="s">
        <v>1158</v>
      </c>
    </row>
    <row r="13" spans="1:11" s="5" customFormat="1" ht="25.5">
      <c r="A13" s="14">
        <f t="shared" si="0"/>
        <v>9</v>
      </c>
      <c r="B13" s="14" t="s">
        <v>994</v>
      </c>
      <c r="C13" s="9" t="s">
        <v>745</v>
      </c>
      <c r="D13" s="8" t="s">
        <v>744</v>
      </c>
      <c r="E13" s="37">
        <v>40000</v>
      </c>
      <c r="F13" s="7" t="s">
        <v>743</v>
      </c>
      <c r="G13" s="7">
        <v>25</v>
      </c>
      <c r="H13" s="7" t="s">
        <v>746</v>
      </c>
      <c r="I13" s="7" t="s">
        <v>746</v>
      </c>
      <c r="J13" s="15" t="s">
        <v>742</v>
      </c>
      <c r="K13" s="7" t="s">
        <v>605</v>
      </c>
    </row>
    <row r="14" spans="1:11" s="5" customFormat="1" ht="25.5">
      <c r="A14" s="14">
        <f t="shared" si="0"/>
        <v>10</v>
      </c>
      <c r="B14" s="14" t="s">
        <v>995</v>
      </c>
      <c r="C14" s="9" t="s">
        <v>750</v>
      </c>
      <c r="D14" s="8" t="s">
        <v>747</v>
      </c>
      <c r="E14" s="37">
        <f>0.05*1000^2</f>
        <v>50000</v>
      </c>
      <c r="F14" s="10" t="s">
        <v>3357</v>
      </c>
      <c r="G14" s="7">
        <v>25</v>
      </c>
      <c r="H14" s="7" t="s">
        <v>748</v>
      </c>
      <c r="I14" s="7" t="s">
        <v>748</v>
      </c>
      <c r="J14" s="8" t="s">
        <v>749</v>
      </c>
      <c r="K14" s="10" t="s">
        <v>1184</v>
      </c>
    </row>
    <row r="15" spans="1:11" s="5" customFormat="1" ht="25.5">
      <c r="A15" s="14">
        <f t="shared" si="0"/>
        <v>11</v>
      </c>
      <c r="B15" s="14" t="s">
        <v>996</v>
      </c>
      <c r="C15" s="9" t="s">
        <v>753</v>
      </c>
      <c r="D15" s="8" t="s">
        <v>752</v>
      </c>
      <c r="E15" s="37">
        <v>68400</v>
      </c>
      <c r="F15" s="10" t="s">
        <v>737</v>
      </c>
      <c r="G15" s="7">
        <v>25</v>
      </c>
      <c r="H15" s="7" t="s">
        <v>754</v>
      </c>
      <c r="I15" s="7" t="s">
        <v>754</v>
      </c>
      <c r="J15" s="15" t="s">
        <v>751</v>
      </c>
      <c r="K15" s="7" t="s">
        <v>3229</v>
      </c>
    </row>
    <row r="16" spans="1:11" s="5" customFormat="1" ht="38.25">
      <c r="A16" s="14">
        <f t="shared" si="0"/>
        <v>12</v>
      </c>
      <c r="B16" s="14" t="s">
        <v>999</v>
      </c>
      <c r="C16" s="9" t="s">
        <v>1916</v>
      </c>
      <c r="D16" s="8" t="s">
        <v>2754</v>
      </c>
      <c r="E16" s="37">
        <f>234601.5+263736.5+129050.5</f>
        <v>627388.5</v>
      </c>
      <c r="F16" s="7" t="s">
        <v>1341</v>
      </c>
      <c r="G16" s="7">
        <v>35</v>
      </c>
      <c r="H16" s="7" t="s">
        <v>760</v>
      </c>
      <c r="I16" s="7" t="s">
        <v>760</v>
      </c>
      <c r="J16" s="15" t="s">
        <v>759</v>
      </c>
      <c r="K16" s="7" t="s">
        <v>2478</v>
      </c>
    </row>
    <row r="17" spans="1:11" s="5" customFormat="1" ht="25.5">
      <c r="A17" s="14">
        <f t="shared" si="0"/>
        <v>13</v>
      </c>
      <c r="B17" s="14" t="s">
        <v>998</v>
      </c>
      <c r="C17" s="9" t="s">
        <v>3179</v>
      </c>
      <c r="D17" s="8" t="s">
        <v>1919</v>
      </c>
      <c r="E17" s="37">
        <v>90666</v>
      </c>
      <c r="F17" s="7" t="s">
        <v>1918</v>
      </c>
      <c r="G17" s="7">
        <v>25</v>
      </c>
      <c r="H17" s="7" t="s">
        <v>3178</v>
      </c>
      <c r="I17" s="7" t="s">
        <v>3178</v>
      </c>
      <c r="J17" s="15" t="s">
        <v>1917</v>
      </c>
      <c r="K17" s="7" t="s">
        <v>3238</v>
      </c>
    </row>
    <row r="18" spans="1:11" s="5" customFormat="1" ht="25.5">
      <c r="A18" s="14">
        <f t="shared" si="0"/>
        <v>14</v>
      </c>
      <c r="B18" s="14" t="s">
        <v>1000</v>
      </c>
      <c r="C18" s="9" t="s">
        <v>3193</v>
      </c>
      <c r="D18" s="8" t="s">
        <v>3180</v>
      </c>
      <c r="E18" s="37">
        <v>37701.2</v>
      </c>
      <c r="F18" s="7" t="s">
        <v>3357</v>
      </c>
      <c r="G18" s="7">
        <v>25</v>
      </c>
      <c r="H18" s="7" t="s">
        <v>3181</v>
      </c>
      <c r="I18" s="7" t="s">
        <v>3181</v>
      </c>
      <c r="J18" s="8" t="s">
        <v>3182</v>
      </c>
      <c r="K18" s="10" t="s">
        <v>3274</v>
      </c>
    </row>
    <row r="19" spans="1:11" s="5" customFormat="1" ht="25.5">
      <c r="A19" s="14">
        <f t="shared" si="0"/>
        <v>15</v>
      </c>
      <c r="B19" s="14" t="s">
        <v>1001</v>
      </c>
      <c r="C19" s="9" t="s">
        <v>3198</v>
      </c>
      <c r="D19" s="8" t="s">
        <v>3195</v>
      </c>
      <c r="E19" s="37">
        <v>101200</v>
      </c>
      <c r="F19" s="7" t="s">
        <v>3196</v>
      </c>
      <c r="G19" s="7">
        <v>35</v>
      </c>
      <c r="H19" s="7" t="s">
        <v>3197</v>
      </c>
      <c r="I19" s="7" t="s">
        <v>3197</v>
      </c>
      <c r="J19" s="15" t="s">
        <v>3194</v>
      </c>
      <c r="K19" s="7" t="s">
        <v>2231</v>
      </c>
    </row>
    <row r="20" spans="1:11" s="5" customFormat="1" ht="25.5" customHeight="1">
      <c r="A20" s="14">
        <f t="shared" si="0"/>
        <v>16</v>
      </c>
      <c r="B20" s="14" t="s">
        <v>1002</v>
      </c>
      <c r="C20" s="9" t="s">
        <v>3202</v>
      </c>
      <c r="D20" s="8" t="s">
        <v>3200</v>
      </c>
      <c r="E20" s="37">
        <v>155371</v>
      </c>
      <c r="F20" s="7" t="s">
        <v>1918</v>
      </c>
      <c r="G20" s="7">
        <v>25</v>
      </c>
      <c r="H20" s="7" t="s">
        <v>3201</v>
      </c>
      <c r="I20" s="7" t="s">
        <v>3201</v>
      </c>
      <c r="J20" s="15" t="s">
        <v>3199</v>
      </c>
      <c r="K20" s="7" t="s">
        <v>3231</v>
      </c>
    </row>
    <row r="21" spans="1:11" s="5" customFormat="1" ht="25.5">
      <c r="A21" s="14">
        <f t="shared" si="0"/>
        <v>17</v>
      </c>
      <c r="B21" s="14" t="s">
        <v>1003</v>
      </c>
      <c r="C21" s="9" t="s">
        <v>588</v>
      </c>
      <c r="D21" s="8" t="s">
        <v>587</v>
      </c>
      <c r="E21" s="37">
        <v>102274</v>
      </c>
      <c r="F21" s="7" t="s">
        <v>3204</v>
      </c>
      <c r="G21" s="7">
        <v>25</v>
      </c>
      <c r="H21" s="7" t="s">
        <v>589</v>
      </c>
      <c r="I21" s="7" t="s">
        <v>589</v>
      </c>
      <c r="J21" s="15" t="s">
        <v>3203</v>
      </c>
      <c r="K21" s="7" t="s">
        <v>1190</v>
      </c>
    </row>
    <row r="22" spans="1:11" s="5" customFormat="1" ht="25.5">
      <c r="A22" s="14">
        <f t="shared" si="0"/>
        <v>18</v>
      </c>
      <c r="B22" s="14" t="s">
        <v>1004</v>
      </c>
      <c r="C22" s="9" t="s">
        <v>2909</v>
      </c>
      <c r="D22" s="8" t="s">
        <v>591</v>
      </c>
      <c r="E22" s="37">
        <f>0.085*1000^2</f>
        <v>85000</v>
      </c>
      <c r="F22" s="7" t="s">
        <v>3357</v>
      </c>
      <c r="G22" s="7">
        <v>25</v>
      </c>
      <c r="H22" s="7" t="s">
        <v>592</v>
      </c>
      <c r="I22" s="3" t="s">
        <v>2908</v>
      </c>
      <c r="J22" s="15" t="s">
        <v>590</v>
      </c>
      <c r="K22" s="7" t="s">
        <v>3221</v>
      </c>
    </row>
    <row r="23" spans="1:11" s="5" customFormat="1" ht="25.5">
      <c r="A23" s="14">
        <f t="shared" si="0"/>
        <v>19</v>
      </c>
      <c r="B23" s="14" t="s">
        <v>1005</v>
      </c>
      <c r="C23" s="9" t="s">
        <v>2912</v>
      </c>
      <c r="D23" s="8" t="s">
        <v>2911</v>
      </c>
      <c r="E23" s="37">
        <f>0.026*1000^2</f>
        <v>26000</v>
      </c>
      <c r="F23" s="7" t="s">
        <v>3357</v>
      </c>
      <c r="G23" s="7">
        <v>20</v>
      </c>
      <c r="H23" s="7" t="s">
        <v>2917</v>
      </c>
      <c r="I23" s="3" t="s">
        <v>2908</v>
      </c>
      <c r="J23" s="15" t="s">
        <v>2910</v>
      </c>
      <c r="K23" s="7" t="s">
        <v>3221</v>
      </c>
    </row>
    <row r="24" spans="1:11" s="5" customFormat="1" ht="25.5">
      <c r="A24" s="14">
        <f t="shared" si="0"/>
        <v>20</v>
      </c>
      <c r="B24" s="14" t="s">
        <v>1006</v>
      </c>
      <c r="C24" s="9" t="s">
        <v>2912</v>
      </c>
      <c r="D24" s="8" t="s">
        <v>2914</v>
      </c>
      <c r="E24" s="37">
        <f>0.055*1000^2</f>
        <v>55000</v>
      </c>
      <c r="F24" s="7" t="s">
        <v>3357</v>
      </c>
      <c r="G24" s="7">
        <v>25</v>
      </c>
      <c r="H24" s="7" t="s">
        <v>592</v>
      </c>
      <c r="I24" s="3" t="s">
        <v>2908</v>
      </c>
      <c r="J24" s="15" t="s">
        <v>2913</v>
      </c>
      <c r="K24" s="7" t="s">
        <v>3220</v>
      </c>
    </row>
    <row r="25" spans="1:11" s="5" customFormat="1" ht="25.5">
      <c r="A25" s="14">
        <f t="shared" si="0"/>
        <v>21</v>
      </c>
      <c r="B25" s="14" t="s">
        <v>1007</v>
      </c>
      <c r="C25" s="9" t="s">
        <v>2912</v>
      </c>
      <c r="D25" s="8" t="s">
        <v>2916</v>
      </c>
      <c r="E25" s="37">
        <f>0.003*1000^2</f>
        <v>3000</v>
      </c>
      <c r="F25" s="7" t="s">
        <v>3357</v>
      </c>
      <c r="G25" s="7">
        <v>25</v>
      </c>
      <c r="H25" s="7" t="s">
        <v>2917</v>
      </c>
      <c r="I25" s="3" t="s">
        <v>2908</v>
      </c>
      <c r="J25" s="15" t="s">
        <v>2915</v>
      </c>
      <c r="K25" s="7" t="s">
        <v>1165</v>
      </c>
    </row>
    <row r="26" spans="1:11" s="5" customFormat="1" ht="25.5">
      <c r="A26" s="14">
        <f t="shared" si="0"/>
        <v>22</v>
      </c>
      <c r="B26" s="14" t="s">
        <v>1008</v>
      </c>
      <c r="C26" s="9" t="s">
        <v>2912</v>
      </c>
      <c r="D26" s="8" t="s">
        <v>2918</v>
      </c>
      <c r="E26" s="37">
        <f>0.075*1000^2</f>
        <v>75000</v>
      </c>
      <c r="F26" s="7" t="s">
        <v>3357</v>
      </c>
      <c r="G26" s="7">
        <v>25</v>
      </c>
      <c r="H26" s="7" t="s">
        <v>2917</v>
      </c>
      <c r="I26" s="3" t="s">
        <v>2908</v>
      </c>
      <c r="J26" s="8" t="s">
        <v>1082</v>
      </c>
      <c r="K26" s="10" t="s">
        <v>2787</v>
      </c>
    </row>
    <row r="27" spans="1:11" s="5" customFormat="1" ht="25.5">
      <c r="A27" s="14">
        <f t="shared" si="0"/>
        <v>23</v>
      </c>
      <c r="B27" s="14" t="s">
        <v>1009</v>
      </c>
      <c r="C27" s="9" t="s">
        <v>2912</v>
      </c>
      <c r="D27" s="8" t="s">
        <v>2920</v>
      </c>
      <c r="E27" s="37">
        <f>0.144*1000^2</f>
        <v>144000</v>
      </c>
      <c r="F27" s="10" t="s">
        <v>2921</v>
      </c>
      <c r="G27" s="7">
        <v>25</v>
      </c>
      <c r="H27" s="10" t="s">
        <v>592</v>
      </c>
      <c r="I27" s="3" t="s">
        <v>2908</v>
      </c>
      <c r="J27" s="15" t="s">
        <v>2919</v>
      </c>
      <c r="K27" s="7" t="s">
        <v>3220</v>
      </c>
    </row>
    <row r="28" spans="1:11" s="5" customFormat="1" ht="25.5">
      <c r="A28" s="14">
        <f t="shared" si="0"/>
        <v>24</v>
      </c>
      <c r="B28" s="14" t="s">
        <v>1010</v>
      </c>
      <c r="C28" s="9" t="s">
        <v>2925</v>
      </c>
      <c r="D28" s="8" t="s">
        <v>2923</v>
      </c>
      <c r="E28" s="37">
        <v>30850</v>
      </c>
      <c r="F28" s="10" t="s">
        <v>2924</v>
      </c>
      <c r="G28" s="7">
        <v>25</v>
      </c>
      <c r="H28" s="7" t="s">
        <v>3062</v>
      </c>
      <c r="I28" s="7" t="s">
        <v>3062</v>
      </c>
      <c r="J28" s="15" t="s">
        <v>2922</v>
      </c>
      <c r="K28" s="7" t="s">
        <v>2502</v>
      </c>
    </row>
    <row r="29" spans="1:11" s="5" customFormat="1" ht="25.5" customHeight="1">
      <c r="A29" s="14">
        <f t="shared" si="0"/>
        <v>25</v>
      </c>
      <c r="B29" s="14" t="s">
        <v>1011</v>
      </c>
      <c r="C29" s="9" t="s">
        <v>2928</v>
      </c>
      <c r="D29" s="8" t="s">
        <v>2927</v>
      </c>
      <c r="E29" s="37">
        <v>184495</v>
      </c>
      <c r="F29" s="7" t="s">
        <v>3196</v>
      </c>
      <c r="G29" s="7">
        <v>25</v>
      </c>
      <c r="H29" s="7" t="s">
        <v>2929</v>
      </c>
      <c r="I29" s="7" t="s">
        <v>2929</v>
      </c>
      <c r="J29" s="8" t="s">
        <v>2926</v>
      </c>
      <c r="K29" s="10" t="s">
        <v>2509</v>
      </c>
    </row>
    <row r="30" spans="1:11" s="5" customFormat="1" ht="38.25">
      <c r="A30" s="14">
        <f t="shared" si="0"/>
        <v>26</v>
      </c>
      <c r="B30" s="14" t="s">
        <v>1013</v>
      </c>
      <c r="C30" s="9" t="s">
        <v>380</v>
      </c>
      <c r="D30" s="8" t="s">
        <v>378</v>
      </c>
      <c r="E30" s="37">
        <v>76573.4</v>
      </c>
      <c r="F30" s="7" t="s">
        <v>3357</v>
      </c>
      <c r="G30" s="7">
        <v>25</v>
      </c>
      <c r="H30" s="7" t="s">
        <v>379</v>
      </c>
      <c r="I30" s="7" t="s">
        <v>379</v>
      </c>
      <c r="J30" s="8" t="s">
        <v>2933</v>
      </c>
      <c r="K30" s="10" t="s">
        <v>3205</v>
      </c>
    </row>
    <row r="31" spans="1:11" s="5" customFormat="1" ht="25.5">
      <c r="A31" s="14">
        <f t="shared" si="0"/>
        <v>27</v>
      </c>
      <c r="B31" s="14" t="s">
        <v>1015</v>
      </c>
      <c r="C31" s="9" t="s">
        <v>387</v>
      </c>
      <c r="D31" s="8" t="s">
        <v>386</v>
      </c>
      <c r="E31" s="37">
        <v>179437</v>
      </c>
      <c r="F31" s="7" t="s">
        <v>3357</v>
      </c>
      <c r="G31" s="7">
        <v>25</v>
      </c>
      <c r="H31" s="7" t="s">
        <v>388</v>
      </c>
      <c r="I31" s="7" t="s">
        <v>388</v>
      </c>
      <c r="J31" s="15" t="s">
        <v>385</v>
      </c>
      <c r="K31" s="7" t="s">
        <v>3206</v>
      </c>
    </row>
    <row r="32" spans="1:11" s="5" customFormat="1" ht="25.5">
      <c r="A32" s="14">
        <f t="shared" si="0"/>
        <v>28</v>
      </c>
      <c r="B32" s="14" t="s">
        <v>3155</v>
      </c>
      <c r="C32" s="9" t="s">
        <v>391</v>
      </c>
      <c r="D32" s="8" t="s">
        <v>390</v>
      </c>
      <c r="E32" s="37">
        <v>213846</v>
      </c>
      <c r="F32" s="7" t="s">
        <v>3357</v>
      </c>
      <c r="G32" s="7">
        <v>25</v>
      </c>
      <c r="H32" s="7" t="s">
        <v>392</v>
      </c>
      <c r="I32" s="7" t="s">
        <v>392</v>
      </c>
      <c r="J32" s="15" t="s">
        <v>389</v>
      </c>
      <c r="K32" s="7" t="s">
        <v>3222</v>
      </c>
    </row>
    <row r="33" spans="1:11" s="5" customFormat="1" ht="25.5" customHeight="1">
      <c r="A33" s="14">
        <f t="shared" si="0"/>
        <v>29</v>
      </c>
      <c r="B33" s="14" t="s">
        <v>3156</v>
      </c>
      <c r="C33" s="9" t="s">
        <v>1422</v>
      </c>
      <c r="D33" s="8" t="s">
        <v>394</v>
      </c>
      <c r="E33" s="37">
        <v>80563</v>
      </c>
      <c r="F33" s="7" t="s">
        <v>3196</v>
      </c>
      <c r="G33" s="7">
        <v>25</v>
      </c>
      <c r="H33" s="7" t="s">
        <v>1423</v>
      </c>
      <c r="I33" s="7" t="s">
        <v>1423</v>
      </c>
      <c r="J33" s="15" t="s">
        <v>393</v>
      </c>
      <c r="K33" s="7" t="s">
        <v>3206</v>
      </c>
    </row>
    <row r="34" spans="1:11" s="5" customFormat="1" ht="25.5" customHeight="1">
      <c r="A34" s="14">
        <f t="shared" si="0"/>
        <v>30</v>
      </c>
      <c r="B34" s="14" t="s">
        <v>3157</v>
      </c>
      <c r="C34" s="9" t="s">
        <v>1422</v>
      </c>
      <c r="D34" s="8" t="s">
        <v>1425</v>
      </c>
      <c r="E34" s="37">
        <v>19484</v>
      </c>
      <c r="F34" s="7" t="s">
        <v>3196</v>
      </c>
      <c r="G34" s="7">
        <v>25</v>
      </c>
      <c r="H34" s="7" t="s">
        <v>1423</v>
      </c>
      <c r="I34" s="7" t="s">
        <v>1423</v>
      </c>
      <c r="J34" s="15" t="s">
        <v>1424</v>
      </c>
      <c r="K34" s="7" t="s">
        <v>3206</v>
      </c>
    </row>
    <row r="35" spans="1:11" s="5" customFormat="1" ht="25.5" customHeight="1">
      <c r="A35" s="14">
        <f t="shared" si="0"/>
        <v>31</v>
      </c>
      <c r="B35" s="14" t="s">
        <v>3158</v>
      </c>
      <c r="C35" s="9" t="s">
        <v>1429</v>
      </c>
      <c r="D35" s="8" t="s">
        <v>1426</v>
      </c>
      <c r="E35" s="37">
        <v>75640</v>
      </c>
      <c r="F35" s="7" t="s">
        <v>1918</v>
      </c>
      <c r="G35" s="7">
        <v>25</v>
      </c>
      <c r="H35" s="7" t="s">
        <v>1427</v>
      </c>
      <c r="I35" s="7" t="s">
        <v>1427</v>
      </c>
      <c r="J35" s="8" t="s">
        <v>1428</v>
      </c>
      <c r="K35" s="10" t="s">
        <v>1722</v>
      </c>
    </row>
    <row r="36" spans="1:11" s="5" customFormat="1" ht="25.5">
      <c r="A36" s="14">
        <f t="shared" si="0"/>
        <v>32</v>
      </c>
      <c r="B36" s="14" t="s">
        <v>3159</v>
      </c>
      <c r="C36" s="9" t="s">
        <v>1432</v>
      </c>
      <c r="D36" s="8" t="s">
        <v>1431</v>
      </c>
      <c r="E36" s="37">
        <v>34900</v>
      </c>
      <c r="F36" s="7" t="s">
        <v>3357</v>
      </c>
      <c r="G36" s="7">
        <v>25</v>
      </c>
      <c r="H36" s="7" t="s">
        <v>1433</v>
      </c>
      <c r="I36" s="10" t="s">
        <v>1434</v>
      </c>
      <c r="J36" s="15" t="s">
        <v>1430</v>
      </c>
      <c r="K36" s="7" t="s">
        <v>3207</v>
      </c>
    </row>
    <row r="37" spans="1:11" s="5" customFormat="1" ht="25.5">
      <c r="A37" s="14">
        <f t="shared" si="0"/>
        <v>33</v>
      </c>
      <c r="B37" s="14" t="s">
        <v>3160</v>
      </c>
      <c r="C37" s="9" t="s">
        <v>3179</v>
      </c>
      <c r="D37" s="8" t="s">
        <v>1436</v>
      </c>
      <c r="E37" s="37">
        <v>80411</v>
      </c>
      <c r="F37" s="7" t="s">
        <v>3196</v>
      </c>
      <c r="G37" s="7">
        <v>25</v>
      </c>
      <c r="H37" s="7" t="s">
        <v>1437</v>
      </c>
      <c r="I37" s="7" t="s">
        <v>1437</v>
      </c>
      <c r="J37" s="15" t="s">
        <v>1435</v>
      </c>
      <c r="K37" s="7" t="s">
        <v>2830</v>
      </c>
    </row>
    <row r="38" spans="1:11" s="5" customFormat="1" ht="38.25">
      <c r="A38" s="14">
        <f t="shared" si="0"/>
        <v>34</v>
      </c>
      <c r="B38" s="14" t="s">
        <v>3161</v>
      </c>
      <c r="C38" s="9" t="s">
        <v>1440</v>
      </c>
      <c r="D38" s="8" t="s">
        <v>1439</v>
      </c>
      <c r="E38" s="37">
        <v>430255</v>
      </c>
      <c r="F38" s="7" t="s">
        <v>3357</v>
      </c>
      <c r="G38" s="7">
        <v>25</v>
      </c>
      <c r="H38" s="7" t="s">
        <v>1441</v>
      </c>
      <c r="I38" s="7" t="s">
        <v>1441</v>
      </c>
      <c r="J38" s="15" t="s">
        <v>1438</v>
      </c>
      <c r="K38" s="7" t="s">
        <v>3208</v>
      </c>
    </row>
    <row r="39" spans="1:11" s="5" customFormat="1" ht="38.25" customHeight="1">
      <c r="A39" s="14">
        <f t="shared" si="0"/>
        <v>35</v>
      </c>
      <c r="B39" s="14" t="s">
        <v>3162</v>
      </c>
      <c r="C39" s="9" t="s">
        <v>1443</v>
      </c>
      <c r="D39" s="8" t="s">
        <v>1444</v>
      </c>
      <c r="E39" s="37">
        <v>13000</v>
      </c>
      <c r="F39" s="7" t="s">
        <v>3196</v>
      </c>
      <c r="G39" s="7">
        <v>25</v>
      </c>
      <c r="H39" s="7" t="s">
        <v>1445</v>
      </c>
      <c r="I39" s="3" t="s">
        <v>1446</v>
      </c>
      <c r="J39" s="8" t="s">
        <v>1442</v>
      </c>
      <c r="K39" s="7" t="s">
        <v>3295</v>
      </c>
    </row>
    <row r="40" spans="1:11" s="5" customFormat="1" ht="38.25">
      <c r="A40" s="14">
        <f t="shared" si="0"/>
        <v>36</v>
      </c>
      <c r="B40" s="14" t="s">
        <v>2525</v>
      </c>
      <c r="C40" s="9" t="s">
        <v>2507</v>
      </c>
      <c r="D40" s="8" t="s">
        <v>2526</v>
      </c>
      <c r="E40" s="37">
        <v>12258</v>
      </c>
      <c r="F40" s="7" t="s">
        <v>3196</v>
      </c>
      <c r="G40" s="7">
        <v>25</v>
      </c>
      <c r="H40" s="7" t="s">
        <v>1170</v>
      </c>
      <c r="I40" s="3" t="s">
        <v>1170</v>
      </c>
      <c r="J40" s="8" t="s">
        <v>2729</v>
      </c>
      <c r="K40" s="7" t="s">
        <v>2717</v>
      </c>
    </row>
    <row r="41" spans="1:11" s="5" customFormat="1" ht="38.25">
      <c r="A41" s="14">
        <f t="shared" si="0"/>
        <v>37</v>
      </c>
      <c r="B41" s="14" t="s">
        <v>2527</v>
      </c>
      <c r="C41" s="9" t="s">
        <v>2531</v>
      </c>
      <c r="D41" s="8" t="s">
        <v>2528</v>
      </c>
      <c r="E41" s="37">
        <v>73184</v>
      </c>
      <c r="F41" s="7" t="s">
        <v>1918</v>
      </c>
      <c r="G41" s="7">
        <v>25</v>
      </c>
      <c r="H41" s="7" t="s">
        <v>2510</v>
      </c>
      <c r="I41" s="3" t="s">
        <v>2511</v>
      </c>
      <c r="J41" s="8" t="s">
        <v>2730</v>
      </c>
      <c r="K41" s="7" t="s">
        <v>1727</v>
      </c>
    </row>
    <row r="42" spans="1:11" s="5" customFormat="1" ht="38.25">
      <c r="A42" s="14">
        <f t="shared" si="0"/>
        <v>38</v>
      </c>
      <c r="B42" s="14" t="s">
        <v>2529</v>
      </c>
      <c r="C42" s="9" t="s">
        <v>2532</v>
      </c>
      <c r="D42" s="8" t="s">
        <v>2530</v>
      </c>
      <c r="E42" s="37">
        <v>663210</v>
      </c>
      <c r="F42" s="7" t="s">
        <v>1918</v>
      </c>
      <c r="G42" s="7">
        <v>35</v>
      </c>
      <c r="H42" s="7" t="s">
        <v>2513</v>
      </c>
      <c r="I42" s="3" t="s">
        <v>2514</v>
      </c>
      <c r="J42" s="15" t="s">
        <v>2731</v>
      </c>
      <c r="K42" s="7" t="s">
        <v>326</v>
      </c>
    </row>
    <row r="43" spans="1:11" s="5" customFormat="1" ht="38.25">
      <c r="A43" s="14">
        <f t="shared" si="0"/>
        <v>39</v>
      </c>
      <c r="B43" s="14" t="s">
        <v>2533</v>
      </c>
      <c r="C43" s="9" t="s">
        <v>2475</v>
      </c>
      <c r="D43" s="8" t="s">
        <v>2534</v>
      </c>
      <c r="E43" s="37">
        <v>118459</v>
      </c>
      <c r="F43" s="7" t="s">
        <v>3357</v>
      </c>
      <c r="G43" s="7">
        <v>25</v>
      </c>
      <c r="H43" s="7" t="s">
        <v>3210</v>
      </c>
      <c r="I43" s="3" t="s">
        <v>3210</v>
      </c>
      <c r="J43" s="8" t="s">
        <v>2732</v>
      </c>
      <c r="K43" s="7" t="s">
        <v>3209</v>
      </c>
    </row>
    <row r="44" spans="1:11" s="5" customFormat="1" ht="38.25">
      <c r="A44" s="14">
        <f t="shared" si="0"/>
        <v>40</v>
      </c>
      <c r="B44" s="14" t="s">
        <v>2535</v>
      </c>
      <c r="C44" s="9" t="s">
        <v>2537</v>
      </c>
      <c r="D44" s="8" t="s">
        <v>2536</v>
      </c>
      <c r="E44" s="37">
        <v>125013</v>
      </c>
      <c r="F44" s="7" t="s">
        <v>3357</v>
      </c>
      <c r="G44" s="7">
        <v>30</v>
      </c>
      <c r="H44" s="7" t="s">
        <v>3230</v>
      </c>
      <c r="I44" s="3" t="s">
        <v>3230</v>
      </c>
      <c r="J44" s="15" t="s">
        <v>2733</v>
      </c>
      <c r="K44" s="7" t="s">
        <v>1828</v>
      </c>
    </row>
    <row r="45" spans="1:11" s="5" customFormat="1" ht="38.25">
      <c r="A45" s="14">
        <f t="shared" si="0"/>
        <v>41</v>
      </c>
      <c r="B45" s="14" t="s">
        <v>2541</v>
      </c>
      <c r="C45" s="9" t="s">
        <v>2542</v>
      </c>
      <c r="D45" s="8" t="s">
        <v>2543</v>
      </c>
      <c r="E45" s="37">
        <v>183466</v>
      </c>
      <c r="F45" s="7" t="s">
        <v>1918</v>
      </c>
      <c r="G45" s="7">
        <v>25</v>
      </c>
      <c r="H45" s="7" t="s">
        <v>2516</v>
      </c>
      <c r="I45" s="3" t="s">
        <v>2516</v>
      </c>
      <c r="J45" s="8" t="s">
        <v>2735</v>
      </c>
      <c r="K45" s="7" t="s">
        <v>2515</v>
      </c>
    </row>
    <row r="46" spans="1:11" s="5" customFormat="1" ht="89.25">
      <c r="A46" s="14">
        <f t="shared" si="0"/>
        <v>42</v>
      </c>
      <c r="B46" s="14" t="s">
        <v>2544</v>
      </c>
      <c r="C46" s="9" t="s">
        <v>2512</v>
      </c>
      <c r="D46" s="8" t="s">
        <v>2545</v>
      </c>
      <c r="E46" s="37">
        <v>234604</v>
      </c>
      <c r="F46" s="7" t="s">
        <v>2546</v>
      </c>
      <c r="G46" s="7">
        <v>25</v>
      </c>
      <c r="H46" s="7" t="s">
        <v>2791</v>
      </c>
      <c r="I46" s="3" t="s">
        <v>2791</v>
      </c>
      <c r="J46" s="15" t="s">
        <v>2736</v>
      </c>
      <c r="K46" s="7" t="s">
        <v>2819</v>
      </c>
    </row>
    <row r="47" spans="1:11" s="5" customFormat="1" ht="38.25">
      <c r="A47" s="14">
        <f t="shared" si="0"/>
        <v>43</v>
      </c>
      <c r="B47" s="14" t="s">
        <v>2547</v>
      </c>
      <c r="C47" s="9" t="s">
        <v>3211</v>
      </c>
      <c r="D47" s="8" t="s">
        <v>2548</v>
      </c>
      <c r="E47" s="37">
        <v>243013.5</v>
      </c>
      <c r="F47" s="7" t="s">
        <v>3357</v>
      </c>
      <c r="G47" s="7">
        <v>35</v>
      </c>
      <c r="H47" s="7" t="s">
        <v>3213</v>
      </c>
      <c r="I47" s="3" t="s">
        <v>2549</v>
      </c>
      <c r="J47" s="15" t="s">
        <v>2737</v>
      </c>
      <c r="K47" s="7" t="s">
        <v>3212</v>
      </c>
    </row>
    <row r="48" spans="1:11" s="5" customFormat="1" ht="25.5">
      <c r="A48" s="14">
        <f t="shared" si="0"/>
        <v>44</v>
      </c>
      <c r="B48" s="14" t="s">
        <v>2550</v>
      </c>
      <c r="C48" s="9" t="s">
        <v>3217</v>
      </c>
      <c r="D48" s="8" t="s">
        <v>2551</v>
      </c>
      <c r="E48" s="37">
        <v>26549</v>
      </c>
      <c r="F48" s="7" t="s">
        <v>1341</v>
      </c>
      <c r="G48" s="7">
        <v>35</v>
      </c>
      <c r="H48" s="7" t="s">
        <v>3219</v>
      </c>
      <c r="I48" s="3" t="s">
        <v>3219</v>
      </c>
      <c r="J48" s="15" t="s">
        <v>2738</v>
      </c>
      <c r="K48" s="7" t="s">
        <v>3218</v>
      </c>
    </row>
    <row r="49" spans="1:11" s="5" customFormat="1" ht="38.25">
      <c r="A49" s="14">
        <f t="shared" si="0"/>
        <v>45</v>
      </c>
      <c r="B49" s="14" t="s">
        <v>2552</v>
      </c>
      <c r="C49" s="9" t="s">
        <v>2553</v>
      </c>
      <c r="D49" s="8" t="s">
        <v>3267</v>
      </c>
      <c r="E49" s="37">
        <v>34694</v>
      </c>
      <c r="F49" s="7" t="s">
        <v>1918</v>
      </c>
      <c r="G49" s="7">
        <v>35</v>
      </c>
      <c r="H49" s="7" t="s">
        <v>2793</v>
      </c>
      <c r="I49" s="3" t="s">
        <v>173</v>
      </c>
      <c r="J49" s="15" t="s">
        <v>2739</v>
      </c>
      <c r="K49" s="7" t="s">
        <v>2141</v>
      </c>
    </row>
    <row r="50" spans="1:11" s="5" customFormat="1" ht="38.25">
      <c r="A50" s="14">
        <f t="shared" si="0"/>
        <v>46</v>
      </c>
      <c r="B50" s="14" t="s">
        <v>3268</v>
      </c>
      <c r="C50" s="9" t="s">
        <v>1964</v>
      </c>
      <c r="D50" s="8" t="s">
        <v>3269</v>
      </c>
      <c r="E50" s="37">
        <v>50488.1</v>
      </c>
      <c r="F50" s="7" t="s">
        <v>3270</v>
      </c>
      <c r="G50" s="7">
        <v>35</v>
      </c>
      <c r="H50" s="7" t="s">
        <v>2520</v>
      </c>
      <c r="I50" s="3" t="s">
        <v>173</v>
      </c>
      <c r="J50" s="15" t="s">
        <v>2740</v>
      </c>
      <c r="K50" s="7" t="s">
        <v>1760</v>
      </c>
    </row>
    <row r="51" spans="1:11" s="5" customFormat="1" ht="51">
      <c r="A51" s="14">
        <f t="shared" si="0"/>
        <v>47</v>
      </c>
      <c r="B51" s="14" t="s">
        <v>3271</v>
      </c>
      <c r="C51" s="9" t="s">
        <v>2554</v>
      </c>
      <c r="D51" s="8" t="s">
        <v>3272</v>
      </c>
      <c r="E51" s="37">
        <v>188888</v>
      </c>
      <c r="F51" s="7" t="s">
        <v>1918</v>
      </c>
      <c r="G51" s="7">
        <v>35</v>
      </c>
      <c r="H51" s="7" t="s">
        <v>2519</v>
      </c>
      <c r="I51" s="3" t="s">
        <v>2520</v>
      </c>
      <c r="J51" s="8" t="s">
        <v>2741</v>
      </c>
      <c r="K51" s="7" t="s">
        <v>2518</v>
      </c>
    </row>
    <row r="52" spans="1:11" s="5" customFormat="1" ht="38.25">
      <c r="A52" s="14">
        <f t="shared" si="0"/>
        <v>48</v>
      </c>
      <c r="B52" s="14" t="s">
        <v>3273</v>
      </c>
      <c r="C52" s="9" t="s">
        <v>2476</v>
      </c>
      <c r="D52" s="8" t="s">
        <v>2689</v>
      </c>
      <c r="E52" s="37">
        <v>243102</v>
      </c>
      <c r="F52" s="7" t="s">
        <v>2690</v>
      </c>
      <c r="G52" s="7">
        <v>35</v>
      </c>
      <c r="H52" s="7" t="s">
        <v>2477</v>
      </c>
      <c r="I52" s="3" t="s">
        <v>2477</v>
      </c>
      <c r="J52" s="15" t="s">
        <v>2742</v>
      </c>
      <c r="K52" s="7" t="s">
        <v>1814</v>
      </c>
    </row>
    <row r="53" spans="1:11" s="5" customFormat="1" ht="63.75">
      <c r="A53" s="14">
        <f t="shared" si="0"/>
        <v>49</v>
      </c>
      <c r="B53" s="14" t="s">
        <v>2691</v>
      </c>
      <c r="C53" s="9" t="s">
        <v>2555</v>
      </c>
      <c r="D53" s="8" t="s">
        <v>2692</v>
      </c>
      <c r="E53" s="37">
        <v>100597</v>
      </c>
      <c r="F53" s="7" t="s">
        <v>1918</v>
      </c>
      <c r="G53" s="7">
        <v>35</v>
      </c>
      <c r="H53" s="7" t="s">
        <v>2521</v>
      </c>
      <c r="I53" s="3" t="s">
        <v>2693</v>
      </c>
      <c r="J53" s="15" t="s">
        <v>2743</v>
      </c>
      <c r="K53" s="7" t="s">
        <v>2518</v>
      </c>
    </row>
    <row r="54" spans="1:11" s="5" customFormat="1" ht="38.25">
      <c r="A54" s="14">
        <f t="shared" si="0"/>
        <v>50</v>
      </c>
      <c r="B54" s="14" t="s">
        <v>2694</v>
      </c>
      <c r="C54" s="9" t="s">
        <v>3252</v>
      </c>
      <c r="D54" s="8" t="s">
        <v>2695</v>
      </c>
      <c r="E54" s="37">
        <v>3491</v>
      </c>
      <c r="F54" s="10" t="s">
        <v>2756</v>
      </c>
      <c r="G54" s="7">
        <v>20</v>
      </c>
      <c r="H54" s="7" t="s">
        <v>1202</v>
      </c>
      <c r="I54" s="3" t="s">
        <v>173</v>
      </c>
      <c r="J54" s="15" t="s">
        <v>2744</v>
      </c>
      <c r="K54" s="7" t="s">
        <v>2574</v>
      </c>
    </row>
    <row r="55" spans="1:11" s="5" customFormat="1" ht="38.25">
      <c r="A55" s="14">
        <f t="shared" si="0"/>
        <v>51</v>
      </c>
      <c r="B55" s="14" t="s">
        <v>2696</v>
      </c>
      <c r="C55" s="9" t="s">
        <v>3264</v>
      </c>
      <c r="D55" s="8" t="s">
        <v>2697</v>
      </c>
      <c r="E55" s="37">
        <v>239000</v>
      </c>
      <c r="F55" s="7" t="s">
        <v>2698</v>
      </c>
      <c r="G55" s="7">
        <v>35</v>
      </c>
      <c r="H55" s="7" t="s">
        <v>2779</v>
      </c>
      <c r="I55" s="3" t="s">
        <v>2699</v>
      </c>
      <c r="J55" s="8" t="s">
        <v>2745</v>
      </c>
      <c r="K55" s="7" t="s">
        <v>2778</v>
      </c>
    </row>
    <row r="56" spans="1:11" s="5" customFormat="1" ht="25.5">
      <c r="A56" s="14">
        <f t="shared" si="0"/>
        <v>52</v>
      </c>
      <c r="B56" s="14" t="s">
        <v>2700</v>
      </c>
      <c r="C56" s="9" t="s">
        <v>3223</v>
      </c>
      <c r="D56" s="8" t="s">
        <v>2701</v>
      </c>
      <c r="E56" s="37">
        <v>16036</v>
      </c>
      <c r="F56" s="7" t="s">
        <v>2921</v>
      </c>
      <c r="G56" s="7">
        <v>35</v>
      </c>
      <c r="H56" s="7" t="s">
        <v>3225</v>
      </c>
      <c r="I56" s="3" t="s">
        <v>2702</v>
      </c>
      <c r="J56" s="8" t="s">
        <v>2746</v>
      </c>
      <c r="K56" s="7" t="s">
        <v>3224</v>
      </c>
    </row>
    <row r="57" spans="1:11" s="5" customFormat="1" ht="25.5">
      <c r="A57" s="14">
        <f t="shared" si="0"/>
        <v>53</v>
      </c>
      <c r="B57" s="14" t="s">
        <v>2703</v>
      </c>
      <c r="C57" s="9" t="s">
        <v>3226</v>
      </c>
      <c r="D57" s="8" t="s">
        <v>2704</v>
      </c>
      <c r="E57" s="37">
        <v>22929</v>
      </c>
      <c r="F57" s="7" t="s">
        <v>2921</v>
      </c>
      <c r="G57" s="7">
        <v>25</v>
      </c>
      <c r="H57" s="7" t="s">
        <v>3228</v>
      </c>
      <c r="I57" s="3" t="s">
        <v>173</v>
      </c>
      <c r="J57" s="8" t="s">
        <v>2747</v>
      </c>
      <c r="K57" s="7" t="s">
        <v>3227</v>
      </c>
    </row>
    <row r="58" spans="1:11" s="5" customFormat="1" ht="51">
      <c r="A58" s="14">
        <f>A57+1</f>
        <v>54</v>
      </c>
      <c r="B58" s="14" t="s">
        <v>2720</v>
      </c>
      <c r="C58" s="9" t="s">
        <v>2723</v>
      </c>
      <c r="D58" s="8" t="s">
        <v>2722</v>
      </c>
      <c r="E58" s="37">
        <v>298695</v>
      </c>
      <c r="F58" s="7" t="s">
        <v>3357</v>
      </c>
      <c r="G58" s="7">
        <v>35</v>
      </c>
      <c r="H58" s="7" t="s">
        <v>3228</v>
      </c>
      <c r="I58" s="7" t="s">
        <v>3228</v>
      </c>
      <c r="J58" s="8" t="s">
        <v>2724</v>
      </c>
      <c r="K58" s="7" t="s">
        <v>2725</v>
      </c>
    </row>
    <row r="59" spans="1:11" s="5" customFormat="1" ht="38.25">
      <c r="A59" s="14">
        <f>A58+1</f>
        <v>55</v>
      </c>
      <c r="B59" s="14" t="s">
        <v>2705</v>
      </c>
      <c r="C59" s="9" t="s">
        <v>3265</v>
      </c>
      <c r="D59" s="8" t="s">
        <v>2706</v>
      </c>
      <c r="E59" s="37">
        <v>46849</v>
      </c>
      <c r="F59" s="7" t="s">
        <v>3196</v>
      </c>
      <c r="G59" s="7">
        <v>35</v>
      </c>
      <c r="H59" s="7" t="s">
        <v>2522</v>
      </c>
      <c r="I59" s="3" t="s">
        <v>1736</v>
      </c>
      <c r="J59" s="15" t="s">
        <v>2748</v>
      </c>
      <c r="K59" s="7" t="s">
        <v>1174</v>
      </c>
    </row>
    <row r="60" spans="1:11" s="5" customFormat="1" ht="38.25">
      <c r="A60" s="14">
        <f>A59+1</f>
        <v>56</v>
      </c>
      <c r="B60" s="14" t="s">
        <v>2707</v>
      </c>
      <c r="C60" s="9" t="s">
        <v>2479</v>
      </c>
      <c r="D60" s="8" t="s">
        <v>2708</v>
      </c>
      <c r="E60" s="37">
        <v>423845</v>
      </c>
      <c r="F60" s="7" t="s">
        <v>2709</v>
      </c>
      <c r="G60" s="7">
        <v>35</v>
      </c>
      <c r="H60" s="7" t="s">
        <v>2490</v>
      </c>
      <c r="I60" s="3" t="s">
        <v>2710</v>
      </c>
      <c r="J60" s="8" t="s">
        <v>2749</v>
      </c>
      <c r="K60" s="7" t="s">
        <v>2480</v>
      </c>
    </row>
    <row r="61" spans="1:11" s="5" customFormat="1" ht="38.25">
      <c r="A61" s="14">
        <f>A60+1</f>
        <v>57</v>
      </c>
      <c r="B61" s="14" t="s">
        <v>2721</v>
      </c>
      <c r="C61" s="9" t="s">
        <v>2727</v>
      </c>
      <c r="D61" s="8" t="s">
        <v>2726</v>
      </c>
      <c r="E61" s="37">
        <v>107148</v>
      </c>
      <c r="F61" s="7" t="s">
        <v>3357</v>
      </c>
      <c r="G61" s="7">
        <v>35</v>
      </c>
      <c r="H61" s="20">
        <v>41408</v>
      </c>
      <c r="I61" s="3" t="s">
        <v>173</v>
      </c>
      <c r="J61" s="15" t="s">
        <v>2728</v>
      </c>
      <c r="K61" s="7"/>
    </row>
    <row r="62" spans="1:11" s="5" customFormat="1" ht="38.25">
      <c r="A62" s="14">
        <f>A61+1</f>
        <v>58</v>
      </c>
      <c r="B62" s="14" t="s">
        <v>2711</v>
      </c>
      <c r="C62" s="9" t="s">
        <v>3266</v>
      </c>
      <c r="D62" s="8" t="s">
        <v>2712</v>
      </c>
      <c r="E62" s="37">
        <v>22640</v>
      </c>
      <c r="F62" s="7" t="s">
        <v>1918</v>
      </c>
      <c r="G62" s="7">
        <v>10</v>
      </c>
      <c r="H62" s="7" t="s">
        <v>2524</v>
      </c>
      <c r="I62" s="3" t="s">
        <v>173</v>
      </c>
      <c r="J62" s="15" t="s">
        <v>2750</v>
      </c>
      <c r="K62" s="7" t="s">
        <v>2523</v>
      </c>
    </row>
    <row r="63" spans="1:11" s="5" customFormat="1" ht="51.75" thickBot="1">
      <c r="A63" s="14">
        <f t="shared" si="0"/>
        <v>59</v>
      </c>
      <c r="B63" s="14" t="s">
        <v>2713</v>
      </c>
      <c r="C63" s="9" t="s">
        <v>2805</v>
      </c>
      <c r="D63" s="8" t="s">
        <v>2714</v>
      </c>
      <c r="E63" s="37">
        <v>98245</v>
      </c>
      <c r="F63" s="7" t="s">
        <v>1918</v>
      </c>
      <c r="G63" s="7">
        <v>35</v>
      </c>
      <c r="H63" s="7" t="s">
        <v>2807</v>
      </c>
      <c r="I63" s="3" t="s">
        <v>173</v>
      </c>
      <c r="J63" s="8" t="s">
        <v>2751</v>
      </c>
      <c r="K63" s="7" t="s">
        <v>2806</v>
      </c>
    </row>
    <row r="64" spans="1:11" s="5" customFormat="1" ht="13.5" thickBot="1">
      <c r="A64" s="14"/>
      <c r="B64" s="14"/>
      <c r="C64" s="9"/>
      <c r="D64" s="8"/>
      <c r="E64" s="37"/>
      <c r="F64" s="7"/>
      <c r="G64" s="7"/>
      <c r="H64" s="7"/>
      <c r="I64" s="3"/>
      <c r="J64" s="8"/>
      <c r="K64" s="7"/>
    </row>
    <row r="65" spans="1:11" s="5" customFormat="1" ht="14.25" thickBot="1" thickTop="1">
      <c r="A65" s="31"/>
      <c r="B65" s="31"/>
      <c r="C65" s="31"/>
      <c r="D65" s="32"/>
      <c r="E65" s="45">
        <f>SUM(E5:E64)</f>
        <v>7268013.355999999</v>
      </c>
      <c r="F65" s="45"/>
      <c r="G65" s="48">
        <f>AVERAGE(G5:G64)</f>
        <v>27.966101694915253</v>
      </c>
      <c r="H65" s="48"/>
      <c r="I65" s="34"/>
      <c r="J65" s="35"/>
      <c r="K65" s="35"/>
    </row>
    <row r="66" spans="1:11" s="5" customFormat="1" ht="12.75">
      <c r="A66" s="603"/>
      <c r="B66" s="661" t="s">
        <v>2760</v>
      </c>
      <c r="C66" s="662"/>
      <c r="D66" s="9" t="s">
        <v>3048</v>
      </c>
      <c r="E66" s="39">
        <f>SUM(E67:E68)</f>
        <v>2531288.256</v>
      </c>
      <c r="F66" s="7"/>
      <c r="G66" s="558">
        <f>SUM(G67:G68)</f>
        <v>660</v>
      </c>
      <c r="H66" s="7"/>
      <c r="I66" s="3"/>
      <c r="J66" s="8"/>
      <c r="K66" s="8"/>
    </row>
    <row r="67" spans="1:11" s="5" customFormat="1" ht="12.75">
      <c r="A67" s="603"/>
      <c r="B67" s="629" t="s">
        <v>2753</v>
      </c>
      <c r="C67" s="629"/>
      <c r="D67" s="15" t="s">
        <v>2290</v>
      </c>
      <c r="E67" s="37">
        <f>E5+E6+E7+E8+E9+E10+E14+E18+E30+E31+E36+E38+E43+E48+E59+E62</f>
        <v>1607818.256</v>
      </c>
      <c r="F67" s="7" t="s">
        <v>3357</v>
      </c>
      <c r="G67" s="46">
        <f>G5+G6+G7+G8+G9+G10+G14+G18+G30+G31+G36+G38+G43+G48+G59+G62</f>
        <v>430</v>
      </c>
      <c r="H67" s="7"/>
      <c r="I67" s="3"/>
      <c r="J67" s="8"/>
      <c r="K67" s="8"/>
    </row>
    <row r="68" spans="1:11" s="5" customFormat="1" ht="25.5">
      <c r="A68" s="603"/>
      <c r="B68" s="629" t="s">
        <v>2752</v>
      </c>
      <c r="C68" s="629"/>
      <c r="D68" s="15" t="s">
        <v>2292</v>
      </c>
      <c r="E68" s="37">
        <f>E22+E23+E24+E25+E26+E27+E32+E57+E58</f>
        <v>923470</v>
      </c>
      <c r="F68" s="10" t="s">
        <v>1277</v>
      </c>
      <c r="G68" s="46">
        <f>G22+G23+G24+G25+G26+G27+G32+G57+G58</f>
        <v>230</v>
      </c>
      <c r="H68" s="7"/>
      <c r="I68" s="3"/>
      <c r="J68" s="8"/>
      <c r="K68" s="8"/>
    </row>
    <row r="69" spans="1:11" s="5" customFormat="1" ht="12.75">
      <c r="A69" s="603"/>
      <c r="B69" s="630" t="s">
        <v>2758</v>
      </c>
      <c r="C69" s="630"/>
      <c r="D69" s="9" t="s">
        <v>3034</v>
      </c>
      <c r="E69" s="39">
        <f>SUM(E70:E71)</f>
        <v>404013</v>
      </c>
      <c r="F69" s="10"/>
      <c r="G69" s="558">
        <f>SUM(G70:G71)</f>
        <v>90</v>
      </c>
      <c r="H69" s="7"/>
      <c r="I69" s="3"/>
      <c r="J69" s="8"/>
      <c r="K69" s="8"/>
    </row>
    <row r="70" spans="1:11" s="5" customFormat="1" ht="12.75">
      <c r="A70" s="603"/>
      <c r="B70" s="629" t="s">
        <v>3038</v>
      </c>
      <c r="C70" s="629"/>
      <c r="D70" s="15" t="s">
        <v>2156</v>
      </c>
      <c r="E70" s="37">
        <f>E13</f>
        <v>40000</v>
      </c>
      <c r="F70" s="46" t="str">
        <f>F13</f>
        <v>граносиенити</v>
      </c>
      <c r="G70" s="46">
        <f>G13</f>
        <v>25</v>
      </c>
      <c r="H70" s="7"/>
      <c r="I70" s="3"/>
      <c r="J70" s="8"/>
      <c r="K70" s="8"/>
    </row>
    <row r="71" spans="1:11" s="5" customFormat="1" ht="12.75">
      <c r="A71" s="603"/>
      <c r="B71" s="629" t="s">
        <v>3040</v>
      </c>
      <c r="C71" s="629"/>
      <c r="D71" s="15" t="s">
        <v>2159</v>
      </c>
      <c r="E71" s="37">
        <f>E44+E55</f>
        <v>364013</v>
      </c>
      <c r="F71" s="564" t="s">
        <v>2757</v>
      </c>
      <c r="G71" s="46">
        <f>G44+G55</f>
        <v>65</v>
      </c>
      <c r="H71" s="7"/>
      <c r="I71" s="3"/>
      <c r="J71" s="8"/>
      <c r="K71" s="8"/>
    </row>
    <row r="72" spans="1:11" s="5" customFormat="1" ht="12.75">
      <c r="A72" s="603"/>
      <c r="B72" s="630" t="s">
        <v>2759</v>
      </c>
      <c r="C72" s="630"/>
      <c r="D72" s="9" t="s">
        <v>761</v>
      </c>
      <c r="E72" s="39">
        <f>SUM(E73:E73)</f>
        <v>1038607.5</v>
      </c>
      <c r="F72" s="10"/>
      <c r="G72" s="558">
        <f>SUM(G73:G73)</f>
        <v>165</v>
      </c>
      <c r="H72" s="7"/>
      <c r="I72" s="3"/>
      <c r="J72" s="8"/>
      <c r="K72" s="8"/>
    </row>
    <row r="73" spans="1:11" s="5" customFormat="1" ht="25.5">
      <c r="A73" s="603"/>
      <c r="B73" s="629" t="s">
        <v>2354</v>
      </c>
      <c r="C73" s="629"/>
      <c r="D73" s="15" t="s">
        <v>762</v>
      </c>
      <c r="E73" s="37">
        <f>E16+E19+E21+E53+E61</f>
        <v>1038607.5</v>
      </c>
      <c r="F73" s="10" t="s">
        <v>2755</v>
      </c>
      <c r="G73" s="46">
        <f>G16+G19+G21+G53+G61</f>
        <v>165</v>
      </c>
      <c r="H73" s="7"/>
      <c r="I73" s="3"/>
      <c r="J73" s="8"/>
      <c r="K73" s="8"/>
    </row>
    <row r="74" spans="1:11" s="5" customFormat="1" ht="12.75">
      <c r="A74" s="603"/>
      <c r="B74" s="630" t="s">
        <v>3371</v>
      </c>
      <c r="C74" s="630"/>
      <c r="D74" s="9" t="s">
        <v>3025</v>
      </c>
      <c r="E74" s="39">
        <f>SUM(E75:E79)</f>
        <v>3294104.6</v>
      </c>
      <c r="F74" s="10"/>
      <c r="G74" s="558">
        <f>SUM(G75:G79)</f>
        <v>335</v>
      </c>
      <c r="H74" s="7"/>
      <c r="I74" s="3"/>
      <c r="J74" s="8"/>
      <c r="K74" s="8"/>
    </row>
    <row r="75" spans="1:11" s="5" customFormat="1" ht="12.75">
      <c r="A75" s="603"/>
      <c r="B75" s="629" t="s">
        <v>3038</v>
      </c>
      <c r="C75" s="629"/>
      <c r="D75" s="15" t="s">
        <v>3026</v>
      </c>
      <c r="E75" s="37">
        <f>E49</f>
        <v>34694</v>
      </c>
      <c r="F75" s="46" t="str">
        <f>F49</f>
        <v>гнайсошисти</v>
      </c>
      <c r="G75" s="46">
        <f>G49</f>
        <v>35</v>
      </c>
      <c r="H75" s="7"/>
      <c r="I75" s="3"/>
      <c r="J75" s="8"/>
      <c r="K75" s="8"/>
    </row>
    <row r="76" spans="1:11" s="5" customFormat="1" ht="12.75">
      <c r="A76" s="603"/>
      <c r="B76" s="629" t="s">
        <v>3041</v>
      </c>
      <c r="C76" s="629"/>
      <c r="D76" s="15" t="s">
        <v>3027</v>
      </c>
      <c r="E76" s="37">
        <f>E11+E12</f>
        <v>26700</v>
      </c>
      <c r="F76" s="10" t="s">
        <v>737</v>
      </c>
      <c r="G76" s="46">
        <f>G11+G12</f>
        <v>50</v>
      </c>
      <c r="H76" s="7"/>
      <c r="I76" s="3"/>
      <c r="J76" s="8"/>
      <c r="K76" s="8"/>
    </row>
    <row r="77" spans="1:11" s="5" customFormat="1" ht="12.75">
      <c r="A77" s="603"/>
      <c r="B77" s="629" t="s">
        <v>3038</v>
      </c>
      <c r="C77" s="629"/>
      <c r="D77" s="15" t="s">
        <v>3028</v>
      </c>
      <c r="E77" s="37">
        <f>E64</f>
        <v>0</v>
      </c>
      <c r="F77" s="46">
        <f>F64</f>
        <v>0</v>
      </c>
      <c r="G77" s="46">
        <f>G64</f>
        <v>0</v>
      </c>
      <c r="H77" s="7"/>
      <c r="I77" s="3"/>
      <c r="J77" s="8"/>
      <c r="K77" s="8"/>
    </row>
    <row r="78" spans="1:11" s="5" customFormat="1" ht="25.5">
      <c r="A78" s="603"/>
      <c r="B78" s="629" t="s">
        <v>3040</v>
      </c>
      <c r="C78" s="629"/>
      <c r="D78" s="15" t="s">
        <v>3029</v>
      </c>
      <c r="E78" s="37">
        <f>E15+E28</f>
        <v>99250</v>
      </c>
      <c r="F78" s="10" t="s">
        <v>1278</v>
      </c>
      <c r="G78" s="46">
        <f>G15+G28</f>
        <v>50</v>
      </c>
      <c r="H78" s="7"/>
      <c r="I78" s="3"/>
      <c r="J78" s="8"/>
      <c r="K78" s="8"/>
    </row>
    <row r="79" spans="1:11" s="5" customFormat="1" ht="26.25" thickBot="1">
      <c r="A79" s="603"/>
      <c r="B79" s="629" t="s">
        <v>3372</v>
      </c>
      <c r="C79" s="629"/>
      <c r="D79" s="15" t="s">
        <v>3030</v>
      </c>
      <c r="E79" s="37">
        <f>E17+E20+E29+E33+E34+E35+E37+E39+E40+E41+E42+E45+E46+E47+E50+E51+E52+E54+E56+E60+E63</f>
        <v>3133460.6</v>
      </c>
      <c r="F79" s="10" t="s">
        <v>1280</v>
      </c>
      <c r="G79" s="46">
        <f>G17+G20+G29+G33+G34+G35+G37+G39</f>
        <v>200</v>
      </c>
      <c r="H79" s="7"/>
      <c r="I79" s="3"/>
      <c r="J79" s="8"/>
      <c r="K79" s="8"/>
    </row>
    <row r="80" spans="1:11" ht="14.25" thickBot="1" thickTop="1">
      <c r="A80" s="45"/>
      <c r="B80" s="632" t="s">
        <v>2761</v>
      </c>
      <c r="C80" s="633"/>
      <c r="D80" s="45"/>
      <c r="E80" s="45">
        <f>E66+E69+E72+E74</f>
        <v>7268013.356000001</v>
      </c>
      <c r="F80" s="45"/>
      <c r="G80" s="48">
        <f>G66+G69+G72+G74</f>
        <v>1250</v>
      </c>
      <c r="H80" s="45"/>
      <c r="I80" s="45"/>
      <c r="J80" s="45"/>
      <c r="K80" s="45"/>
    </row>
    <row r="83" spans="1:11" s="5" customFormat="1" ht="12.75">
      <c r="A83" s="565"/>
      <c r="B83" s="627" t="s">
        <v>2077</v>
      </c>
      <c r="C83" s="627"/>
      <c r="D83" s="627"/>
      <c r="E83" s="627"/>
      <c r="F83" s="627"/>
      <c r="G83" s="627"/>
      <c r="H83" s="627"/>
      <c r="I83" s="627"/>
      <c r="J83" s="627"/>
      <c r="K83" s="627"/>
    </row>
    <row r="84" spans="2:11" s="5" customFormat="1" ht="12.75">
      <c r="B84" s="627" t="s">
        <v>1241</v>
      </c>
      <c r="C84" s="627"/>
      <c r="D84" s="627"/>
      <c r="E84" s="627"/>
      <c r="F84" s="627"/>
      <c r="G84" s="627"/>
      <c r="H84" s="627"/>
      <c r="I84" s="627"/>
      <c r="J84" s="627"/>
      <c r="K84" s="627"/>
    </row>
    <row r="86" spans="1:12" s="5" customFormat="1" ht="64.5" customHeight="1" thickBot="1">
      <c r="A86" s="11" t="s">
        <v>1096</v>
      </c>
      <c r="B86" s="11" t="s">
        <v>1271</v>
      </c>
      <c r="C86" s="12" t="s">
        <v>481</v>
      </c>
      <c r="D86" s="12" t="s">
        <v>477</v>
      </c>
      <c r="E86" s="13" t="s">
        <v>160</v>
      </c>
      <c r="F86" s="13" t="s">
        <v>1104</v>
      </c>
      <c r="G86" s="11" t="s">
        <v>1765</v>
      </c>
      <c r="H86" s="13" t="s">
        <v>1764</v>
      </c>
      <c r="I86" s="13" t="s">
        <v>3066</v>
      </c>
      <c r="J86" s="11" t="s">
        <v>3071</v>
      </c>
      <c r="K86" s="659" t="s">
        <v>2399</v>
      </c>
      <c r="L86" s="659"/>
    </row>
    <row r="87" spans="1:12" s="5" customFormat="1" ht="25.5" customHeight="1" thickTop="1">
      <c r="A87" s="3">
        <v>1</v>
      </c>
      <c r="B87" s="14" t="s">
        <v>2078</v>
      </c>
      <c r="C87" s="9" t="s">
        <v>2079</v>
      </c>
      <c r="D87" s="8" t="s">
        <v>2397</v>
      </c>
      <c r="E87" s="37">
        <f>34297.824+21669.385</f>
        <v>55967.209</v>
      </c>
      <c r="F87" s="7" t="s">
        <v>2398</v>
      </c>
      <c r="G87" s="7">
        <v>25</v>
      </c>
      <c r="H87" s="7" t="s">
        <v>987</v>
      </c>
      <c r="I87" s="14" t="s">
        <v>3081</v>
      </c>
      <c r="J87" s="8" t="s">
        <v>3067</v>
      </c>
      <c r="K87" s="660" t="s">
        <v>2400</v>
      </c>
      <c r="L87" s="660"/>
    </row>
    <row r="88" spans="1:12" s="5" customFormat="1" ht="25.5" customHeight="1">
      <c r="A88" s="14">
        <f aca="true" t="shared" si="1" ref="A88:A95">A87+1</f>
        <v>2</v>
      </c>
      <c r="B88" s="14" t="s">
        <v>2402</v>
      </c>
      <c r="C88" s="9" t="s">
        <v>2079</v>
      </c>
      <c r="D88" s="8" t="s">
        <v>2401</v>
      </c>
      <c r="E88" s="37">
        <f>24183.854</f>
        <v>24183.854</v>
      </c>
      <c r="F88" s="7" t="s">
        <v>2398</v>
      </c>
      <c r="G88" s="7">
        <v>25</v>
      </c>
      <c r="H88" s="7" t="s">
        <v>987</v>
      </c>
      <c r="I88" s="14" t="s">
        <v>3083</v>
      </c>
      <c r="J88" s="8" t="s">
        <v>3068</v>
      </c>
      <c r="K88" s="658" t="s">
        <v>2400</v>
      </c>
      <c r="L88" s="658"/>
    </row>
    <row r="89" spans="1:12" s="5" customFormat="1" ht="25.5" customHeight="1">
      <c r="A89" s="14">
        <f t="shared" si="1"/>
        <v>3</v>
      </c>
      <c r="B89" s="14" t="s">
        <v>2403</v>
      </c>
      <c r="C89" s="9" t="s">
        <v>2079</v>
      </c>
      <c r="D89" s="8" t="s">
        <v>2404</v>
      </c>
      <c r="E89" s="37">
        <v>692964.642</v>
      </c>
      <c r="F89" s="7" t="s">
        <v>1341</v>
      </c>
      <c r="G89" s="7">
        <v>25</v>
      </c>
      <c r="H89" s="7" t="s">
        <v>987</v>
      </c>
      <c r="I89" s="14" t="s">
        <v>3081</v>
      </c>
      <c r="J89" s="8" t="s">
        <v>3069</v>
      </c>
      <c r="K89" s="658" t="s">
        <v>2400</v>
      </c>
      <c r="L89" s="658"/>
    </row>
    <row r="90" spans="1:12" s="5" customFormat="1" ht="25.5">
      <c r="A90" s="14">
        <f t="shared" si="1"/>
        <v>4</v>
      </c>
      <c r="B90" s="14" t="s">
        <v>767</v>
      </c>
      <c r="C90" s="9" t="s">
        <v>2079</v>
      </c>
      <c r="D90" s="8" t="s">
        <v>768</v>
      </c>
      <c r="E90" s="7" t="s">
        <v>1447</v>
      </c>
      <c r="F90" s="7" t="s">
        <v>383</v>
      </c>
      <c r="G90" s="7">
        <v>25</v>
      </c>
      <c r="H90" s="7" t="s">
        <v>173</v>
      </c>
      <c r="I90" s="14" t="s">
        <v>3081</v>
      </c>
      <c r="J90" s="8" t="s">
        <v>3070</v>
      </c>
      <c r="K90" s="658" t="s">
        <v>2400</v>
      </c>
      <c r="L90" s="658"/>
    </row>
    <row r="91" spans="1:12" s="5" customFormat="1" ht="25.5">
      <c r="A91" s="14">
        <f t="shared" si="1"/>
        <v>5</v>
      </c>
      <c r="B91" s="14" t="s">
        <v>3318</v>
      </c>
      <c r="C91" s="9" t="s">
        <v>725</v>
      </c>
      <c r="D91" s="8" t="s">
        <v>3321</v>
      </c>
      <c r="E91" s="7" t="s">
        <v>1447</v>
      </c>
      <c r="F91" s="10" t="s">
        <v>3319</v>
      </c>
      <c r="G91" s="7">
        <v>35</v>
      </c>
      <c r="H91" s="7" t="s">
        <v>723</v>
      </c>
      <c r="I91" s="14" t="s">
        <v>3082</v>
      </c>
      <c r="J91" s="8" t="s">
        <v>3072</v>
      </c>
      <c r="K91" s="658" t="s">
        <v>3320</v>
      </c>
      <c r="L91" s="658"/>
    </row>
    <row r="92" spans="1:12" s="5" customFormat="1" ht="25.5">
      <c r="A92" s="14">
        <f t="shared" si="1"/>
        <v>6</v>
      </c>
      <c r="B92" s="14" t="s">
        <v>997</v>
      </c>
      <c r="C92" s="9" t="s">
        <v>3183</v>
      </c>
      <c r="D92" s="8" t="s">
        <v>756</v>
      </c>
      <c r="E92" s="37">
        <v>45670</v>
      </c>
      <c r="F92" s="7" t="s">
        <v>755</v>
      </c>
      <c r="G92" s="7">
        <v>25</v>
      </c>
      <c r="H92" s="7" t="s">
        <v>757</v>
      </c>
      <c r="I92" s="7" t="s">
        <v>757</v>
      </c>
      <c r="J92" s="15" t="s">
        <v>758</v>
      </c>
      <c r="K92" s="641"/>
      <c r="L92" s="642"/>
    </row>
    <row r="93" spans="1:12" s="5" customFormat="1" ht="38.25">
      <c r="A93" s="14">
        <f t="shared" si="1"/>
        <v>7</v>
      </c>
      <c r="B93" s="14" t="s">
        <v>1012</v>
      </c>
      <c r="C93" s="9" t="s">
        <v>380</v>
      </c>
      <c r="D93" s="8" t="s">
        <v>2931</v>
      </c>
      <c r="E93" s="37" t="s">
        <v>1447</v>
      </c>
      <c r="F93" s="7" t="s">
        <v>1341</v>
      </c>
      <c r="G93" s="7">
        <v>35</v>
      </c>
      <c r="H93" s="7" t="s">
        <v>760</v>
      </c>
      <c r="I93" s="3" t="s">
        <v>2932</v>
      </c>
      <c r="J93" s="15" t="s">
        <v>2930</v>
      </c>
      <c r="K93" s="658" t="s">
        <v>2715</v>
      </c>
      <c r="L93" s="658"/>
    </row>
    <row r="94" spans="1:12" s="5" customFormat="1" ht="25.5">
      <c r="A94" s="14">
        <f t="shared" si="1"/>
        <v>8</v>
      </c>
      <c r="B94" s="14" t="s">
        <v>1014</v>
      </c>
      <c r="C94" s="9" t="s">
        <v>3183</v>
      </c>
      <c r="D94" s="8" t="s">
        <v>382</v>
      </c>
      <c r="E94" s="37">
        <v>12083</v>
      </c>
      <c r="F94" s="7" t="s">
        <v>383</v>
      </c>
      <c r="G94" s="7">
        <v>25</v>
      </c>
      <c r="H94" s="7" t="s">
        <v>384</v>
      </c>
      <c r="I94" s="7" t="s">
        <v>384</v>
      </c>
      <c r="J94" s="15" t="s">
        <v>381</v>
      </c>
      <c r="K94" s="658"/>
      <c r="L94" s="658"/>
    </row>
    <row r="95" spans="1:12" ht="38.25">
      <c r="A95" s="14">
        <f t="shared" si="1"/>
        <v>9</v>
      </c>
      <c r="B95" s="14" t="s">
        <v>2538</v>
      </c>
      <c r="C95" s="9" t="s">
        <v>2539</v>
      </c>
      <c r="D95" s="8" t="s">
        <v>2540</v>
      </c>
      <c r="E95" s="37">
        <v>98178</v>
      </c>
      <c r="F95" s="7" t="s">
        <v>1918</v>
      </c>
      <c r="G95" s="7">
        <v>35</v>
      </c>
      <c r="H95" s="7" t="s">
        <v>2517</v>
      </c>
      <c r="I95" s="7" t="s">
        <v>2517</v>
      </c>
      <c r="J95" s="15" t="s">
        <v>2734</v>
      </c>
      <c r="K95" s="658" t="s">
        <v>3377</v>
      </c>
      <c r="L95" s="658"/>
    </row>
    <row r="96" spans="1:3" ht="12.75">
      <c r="A96" s="5"/>
      <c r="B96" s="5"/>
      <c r="C96" s="24" t="s">
        <v>3080</v>
      </c>
    </row>
    <row r="97" ht="12.75">
      <c r="C97" s="567" t="s">
        <v>3085</v>
      </c>
    </row>
  </sheetData>
  <sheetProtection/>
  <mergeCells count="29">
    <mergeCell ref="K95:L95"/>
    <mergeCell ref="A1:I1"/>
    <mergeCell ref="A2:I2"/>
    <mergeCell ref="B83:K83"/>
    <mergeCell ref="B84:K84"/>
    <mergeCell ref="B66:C66"/>
    <mergeCell ref="B67:C67"/>
    <mergeCell ref="B68:C68"/>
    <mergeCell ref="B78:C78"/>
    <mergeCell ref="B69:C69"/>
    <mergeCell ref="B70:C70"/>
    <mergeCell ref="B72:C72"/>
    <mergeCell ref="B73:C73"/>
    <mergeCell ref="B71:C71"/>
    <mergeCell ref="K91:L91"/>
    <mergeCell ref="B74:C74"/>
    <mergeCell ref="B76:C76"/>
    <mergeCell ref="B79:C79"/>
    <mergeCell ref="B80:C80"/>
    <mergeCell ref="B75:C75"/>
    <mergeCell ref="K94:L94"/>
    <mergeCell ref="K93:L93"/>
    <mergeCell ref="B77:C77"/>
    <mergeCell ref="K92:L92"/>
    <mergeCell ref="K86:L86"/>
    <mergeCell ref="K87:L87"/>
    <mergeCell ref="K88:L88"/>
    <mergeCell ref="K89:L89"/>
    <mergeCell ref="K90:L90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90" r:id="rId1"/>
  <rowBreaks count="2" manualBreakCount="2">
    <brk id="65" max="255" man="1"/>
    <brk id="8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7109375" style="5" customWidth="1"/>
    <col min="2" max="3" width="25.7109375" style="5" customWidth="1"/>
    <col min="4" max="4" width="11.7109375" style="5" customWidth="1"/>
    <col min="5" max="5" width="20.7109375" style="5" customWidth="1"/>
    <col min="6" max="6" width="10.7109375" style="5" customWidth="1"/>
    <col min="7" max="8" width="15.7109375" style="5" customWidth="1"/>
    <col min="9" max="9" width="20.7109375" style="5" customWidth="1"/>
    <col min="10" max="10" width="8.7109375" style="5" customWidth="1"/>
    <col min="11" max="14" width="25.7109375" style="5" customWidth="1"/>
    <col min="15" max="16384" width="9.140625" style="5" customWidth="1"/>
  </cols>
  <sheetData>
    <row r="1" spans="1:10" s="565" customFormat="1" ht="15.75">
      <c r="A1" s="627" t="s">
        <v>2306</v>
      </c>
      <c r="B1" s="627"/>
      <c r="C1" s="627"/>
      <c r="D1" s="627"/>
      <c r="E1" s="627"/>
      <c r="F1" s="627"/>
      <c r="G1" s="627"/>
      <c r="H1" s="627"/>
      <c r="J1" s="57" t="s">
        <v>2132</v>
      </c>
    </row>
    <row r="2" spans="1:9" ht="12.75">
      <c r="A2" s="627" t="s">
        <v>2307</v>
      </c>
      <c r="B2" s="627"/>
      <c r="C2" s="627"/>
      <c r="D2" s="627"/>
      <c r="E2" s="627"/>
      <c r="F2" s="627"/>
      <c r="G2" s="627"/>
      <c r="H2" s="627"/>
      <c r="I2" s="18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10" ht="51.75" customHeight="1" thickBot="1">
      <c r="A4" s="11" t="s">
        <v>1271</v>
      </c>
      <c r="B4" s="12" t="s">
        <v>481</v>
      </c>
      <c r="C4" s="12" t="s">
        <v>477</v>
      </c>
      <c r="D4" s="13" t="s">
        <v>160</v>
      </c>
      <c r="E4" s="13" t="s">
        <v>1104</v>
      </c>
      <c r="F4" s="11" t="s">
        <v>1765</v>
      </c>
      <c r="G4" s="13" t="s">
        <v>1764</v>
      </c>
      <c r="H4" s="13" t="s">
        <v>159</v>
      </c>
      <c r="I4" s="11" t="s">
        <v>2321</v>
      </c>
      <c r="J4" s="560" t="s">
        <v>582</v>
      </c>
    </row>
    <row r="5" spans="1:10" ht="26.25" thickTop="1">
      <c r="A5" s="14" t="s">
        <v>105</v>
      </c>
      <c r="B5" s="9" t="s">
        <v>2762</v>
      </c>
      <c r="C5" s="8" t="s">
        <v>1552</v>
      </c>
      <c r="D5" s="17">
        <v>1480840.73</v>
      </c>
      <c r="E5" s="10" t="s">
        <v>107</v>
      </c>
      <c r="F5" s="7">
        <v>35</v>
      </c>
      <c r="G5" s="7" t="s">
        <v>106</v>
      </c>
      <c r="H5" s="7" t="s">
        <v>106</v>
      </c>
      <c r="I5" s="15" t="s">
        <v>108</v>
      </c>
      <c r="J5" s="7" t="s">
        <v>2261</v>
      </c>
    </row>
    <row r="6" spans="1:10" ht="12.75">
      <c r="A6" s="14"/>
      <c r="B6" s="9"/>
      <c r="C6" s="8"/>
      <c r="D6" s="17"/>
      <c r="E6" s="7"/>
      <c r="F6" s="7"/>
      <c r="G6" s="7"/>
      <c r="H6" s="3"/>
      <c r="I6" s="8"/>
      <c r="J6" s="8"/>
    </row>
    <row r="7" spans="1:10" ht="12.75">
      <c r="A7" s="14"/>
      <c r="B7" s="9"/>
      <c r="C7" s="8"/>
      <c r="D7" s="17"/>
      <c r="E7" s="7"/>
      <c r="F7" s="7"/>
      <c r="G7" s="7"/>
      <c r="H7" s="3"/>
      <c r="I7" s="8"/>
      <c r="J7" s="8"/>
    </row>
    <row r="8" spans="1:10" ht="12.75">
      <c r="A8" s="14"/>
      <c r="B8" s="9"/>
      <c r="C8" s="8"/>
      <c r="D8" s="17"/>
      <c r="E8" s="7"/>
      <c r="F8" s="7"/>
      <c r="G8" s="7"/>
      <c r="H8" s="3"/>
      <c r="I8" s="8"/>
      <c r="J8" s="8"/>
    </row>
    <row r="9" spans="1:10" ht="13.5" thickBot="1">
      <c r="A9" s="14"/>
      <c r="B9" s="9"/>
      <c r="C9" s="8"/>
      <c r="D9" s="17"/>
      <c r="E9" s="7"/>
      <c r="F9" s="7"/>
      <c r="G9" s="7"/>
      <c r="H9" s="3"/>
      <c r="I9" s="8"/>
      <c r="J9" s="8"/>
    </row>
    <row r="10" spans="1:10" ht="14.25" thickBot="1" thickTop="1">
      <c r="A10" s="31"/>
      <c r="B10" s="31"/>
      <c r="C10" s="32"/>
      <c r="D10" s="45">
        <f>SUM(D5:D9)</f>
        <v>1480840.73</v>
      </c>
      <c r="E10" s="45"/>
      <c r="F10" s="45">
        <f>SUM(F5:F9)</f>
        <v>35</v>
      </c>
      <c r="G10" s="48"/>
      <c r="H10" s="34"/>
      <c r="I10" s="35"/>
      <c r="J10" s="35"/>
    </row>
  </sheetData>
  <sheetProtection/>
  <mergeCells count="2">
    <mergeCell ref="A1:H1"/>
    <mergeCell ref="A2:H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2.75"/>
  <cols>
    <col min="1" max="1" width="9.7109375" style="58" customWidth="1"/>
    <col min="2" max="2" width="25.7109375" style="58" customWidth="1"/>
    <col min="3" max="3" width="7.7109375" style="78" customWidth="1"/>
    <col min="4" max="14" width="8.7109375" style="58" customWidth="1"/>
    <col min="15" max="16384" width="9.140625" style="58" customWidth="1"/>
  </cols>
  <sheetData>
    <row r="1" spans="1:18" ht="24.75" customHeight="1" thickBot="1">
      <c r="A1" s="80" t="s">
        <v>2133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R1" s="81" t="s">
        <v>1129</v>
      </c>
    </row>
    <row r="2" spans="1:18" ht="24.75" thickBot="1">
      <c r="A2" s="59" t="s">
        <v>2134</v>
      </c>
      <c r="B2" s="55" t="s">
        <v>2135</v>
      </c>
      <c r="C2" s="60" t="s">
        <v>2136</v>
      </c>
      <c r="D2" s="56">
        <v>2000</v>
      </c>
      <c r="E2" s="56">
        <f>D2+1</f>
        <v>2001</v>
      </c>
      <c r="F2" s="56">
        <f aca="true" t="shared" si="0" ref="F2:Q2">E2+1</f>
        <v>2002</v>
      </c>
      <c r="G2" s="56">
        <f t="shared" si="0"/>
        <v>2003</v>
      </c>
      <c r="H2" s="56">
        <f t="shared" si="0"/>
        <v>2004</v>
      </c>
      <c r="I2" s="56">
        <f t="shared" si="0"/>
        <v>2005</v>
      </c>
      <c r="J2" s="56">
        <f t="shared" si="0"/>
        <v>2006</v>
      </c>
      <c r="K2" s="56">
        <f t="shared" si="0"/>
        <v>2007</v>
      </c>
      <c r="L2" s="56">
        <f t="shared" si="0"/>
        <v>2008</v>
      </c>
      <c r="M2" s="56">
        <f t="shared" si="0"/>
        <v>2009</v>
      </c>
      <c r="N2" s="56">
        <f t="shared" si="0"/>
        <v>2010</v>
      </c>
      <c r="O2" s="56">
        <f t="shared" si="0"/>
        <v>2011</v>
      </c>
      <c r="P2" s="56">
        <f t="shared" si="0"/>
        <v>2012</v>
      </c>
      <c r="Q2" s="56">
        <f t="shared" si="0"/>
        <v>2013</v>
      </c>
      <c r="R2" s="56" t="s">
        <v>1337</v>
      </c>
    </row>
    <row r="3" spans="1:18" ht="13.5" thickBot="1">
      <c r="A3" s="61"/>
      <c r="B3" s="62" t="s">
        <v>2137</v>
      </c>
      <c r="C3" s="63" t="s">
        <v>2138</v>
      </c>
      <c r="D3" s="64">
        <v>28354.13</v>
      </c>
      <c r="E3" s="64">
        <v>31249.75</v>
      </c>
      <c r="F3" s="64">
        <v>33945.058</v>
      </c>
      <c r="G3" s="64">
        <v>36562.334</v>
      </c>
      <c r="H3" s="64">
        <v>40826.206</v>
      </c>
      <c r="I3" s="64">
        <v>46122.056</v>
      </c>
      <c r="J3" s="64">
        <v>52469.881</v>
      </c>
      <c r="K3" s="64">
        <v>62358.276</v>
      </c>
      <c r="L3" s="64">
        <v>71289.361</v>
      </c>
      <c r="M3" s="64">
        <v>70562.049</v>
      </c>
      <c r="N3" s="64">
        <v>71903.67</v>
      </c>
      <c r="O3" s="64">
        <v>78433.553</v>
      </c>
      <c r="P3" s="64">
        <v>80044.37</v>
      </c>
      <c r="Q3" s="64">
        <v>80281.541</v>
      </c>
      <c r="R3" s="64"/>
    </row>
    <row r="4" spans="1:18" ht="24.75" thickBot="1">
      <c r="A4" s="61"/>
      <c r="B4" s="65" t="s">
        <v>2139</v>
      </c>
      <c r="C4" s="66" t="s">
        <v>2138</v>
      </c>
      <c r="D4" s="67">
        <v>26618.056</v>
      </c>
      <c r="E4" s="67">
        <v>29431.267</v>
      </c>
      <c r="F4" s="67">
        <v>32649.809</v>
      </c>
      <c r="G4" s="67">
        <v>35763.553</v>
      </c>
      <c r="H4" s="67">
        <v>38960.719</v>
      </c>
      <c r="I4" s="67">
        <v>43257.525</v>
      </c>
      <c r="J4" s="67">
        <v>49106.337</v>
      </c>
      <c r="K4" s="67">
        <v>56094.175</v>
      </c>
      <c r="L4" s="67">
        <v>65946.809</v>
      </c>
      <c r="M4" s="67">
        <v>67716.384</v>
      </c>
      <c r="N4" s="67">
        <v>71024.46</v>
      </c>
      <c r="O4" s="67">
        <v>73328.802</v>
      </c>
      <c r="P4" s="67">
        <v>78819.595</v>
      </c>
      <c r="Q4" s="67">
        <v>80897.534</v>
      </c>
      <c r="R4" s="67"/>
    </row>
    <row r="5" spans="1:18" ht="13.5" thickBot="1">
      <c r="A5" s="61"/>
      <c r="B5" s="65" t="s">
        <v>2140</v>
      </c>
      <c r="C5" s="66" t="s">
        <v>3031</v>
      </c>
      <c r="D5" s="68">
        <f>D3/24302.106-1</f>
        <v>0.16673550843700546</v>
      </c>
      <c r="E5" s="68">
        <f>E3/D3-1</f>
        <v>0.10212339436970908</v>
      </c>
      <c r="F5" s="68">
        <f aca="true" t="shared" si="1" ref="F5:N5">F3/E3-1</f>
        <v>0.08625054600436788</v>
      </c>
      <c r="G5" s="68">
        <f t="shared" si="1"/>
        <v>0.07710330028011758</v>
      </c>
      <c r="H5" s="68">
        <f t="shared" si="1"/>
        <v>0.11661925083885505</v>
      </c>
      <c r="I5" s="68">
        <f t="shared" si="1"/>
        <v>0.1297169274068719</v>
      </c>
      <c r="J5" s="68">
        <f t="shared" si="1"/>
        <v>0.13763100673569295</v>
      </c>
      <c r="K5" s="68">
        <f t="shared" si="1"/>
        <v>0.18845849869566123</v>
      </c>
      <c r="L5" s="68">
        <f t="shared" si="1"/>
        <v>0.14322212820636682</v>
      </c>
      <c r="M5" s="68">
        <f t="shared" si="1"/>
        <v>-0.010202251637519977</v>
      </c>
      <c r="N5" s="68">
        <f t="shared" si="1"/>
        <v>0.019013350930328077</v>
      </c>
      <c r="O5" s="68">
        <f>O3/N3-1</f>
        <v>0.09081432143866919</v>
      </c>
      <c r="P5" s="68">
        <f>P3/O3-1</f>
        <v>0.020537345796383777</v>
      </c>
      <c r="Q5" s="68">
        <f>Q3/P3-1</f>
        <v>0.0029629941493698464</v>
      </c>
      <c r="R5" s="68"/>
    </row>
    <row r="6" spans="1:18" ht="13.5" thickBot="1">
      <c r="A6" s="61"/>
      <c r="B6" s="65" t="s">
        <v>2957</v>
      </c>
      <c r="C6" s="66" t="s">
        <v>3031</v>
      </c>
      <c r="D6" s="68">
        <f>(1+D5)/(1+D7)-1</f>
        <v>0.09529832517395809</v>
      </c>
      <c r="E6" s="68">
        <f aca="true" t="shared" si="2" ref="E6:N6">(1+E5)/(1+E7)-1</f>
        <v>0.03798871628224876</v>
      </c>
      <c r="F6" s="68">
        <f t="shared" si="2"/>
        <v>0.04480224641797137</v>
      </c>
      <c r="G6" s="68">
        <f t="shared" si="2"/>
        <v>0.05357171580027953</v>
      </c>
      <c r="H6" s="68">
        <f t="shared" si="2"/>
        <v>0.06559715252314025</v>
      </c>
      <c r="I6" s="68">
        <f t="shared" si="2"/>
        <v>0.05955290089899612</v>
      </c>
      <c r="J6" s="68">
        <f t="shared" si="2"/>
        <v>0.06470398891150908</v>
      </c>
      <c r="K6" s="68">
        <f t="shared" si="2"/>
        <v>0.0690737987379848</v>
      </c>
      <c r="L6" s="68">
        <f t="shared" si="2"/>
        <v>0.05754702070339457</v>
      </c>
      <c r="M6" s="68">
        <f t="shared" si="2"/>
        <v>-0.050119357922144836</v>
      </c>
      <c r="N6" s="68">
        <f t="shared" si="2"/>
        <v>0.00655325357686265</v>
      </c>
      <c r="O6" s="68">
        <f>(1+O5)/(1+O7)-1</f>
        <v>0.019820017531789302</v>
      </c>
      <c r="P6" s="68">
        <f>(1+P5)/(1+P7)-1</f>
        <v>0.0049218986675256815</v>
      </c>
      <c r="Q6" s="68">
        <f>(1+Q5)/(1+Q7)-1</f>
        <v>0.01065863845264814</v>
      </c>
      <c r="R6" s="68"/>
    </row>
    <row r="7" spans="1:18" ht="13.5" thickBot="1">
      <c r="A7" s="61"/>
      <c r="B7" s="65" t="s">
        <v>2958</v>
      </c>
      <c r="C7" s="66" t="s">
        <v>3031</v>
      </c>
      <c r="D7" s="68">
        <f>D3/D4-1</f>
        <v>0.06522166757782766</v>
      </c>
      <c r="E7" s="68">
        <f aca="true" t="shared" si="3" ref="E7:N7">E3/E4-1</f>
        <v>0.06178745209983649</v>
      </c>
      <c r="F7" s="68">
        <f t="shared" si="3"/>
        <v>0.03967095182700753</v>
      </c>
      <c r="G7" s="68">
        <f t="shared" si="3"/>
        <v>0.022335057146028126</v>
      </c>
      <c r="H7" s="68">
        <f t="shared" si="3"/>
        <v>0.04788122621659019</v>
      </c>
      <c r="I7" s="68">
        <f t="shared" si="3"/>
        <v>0.0662204090502172</v>
      </c>
      <c r="J7" s="68">
        <f t="shared" si="3"/>
        <v>0.068495110926315</v>
      </c>
      <c r="K7" s="68">
        <f t="shared" si="3"/>
        <v>0.11167114945535772</v>
      </c>
      <c r="L7" s="68">
        <f t="shared" si="3"/>
        <v>0.08101304795505748</v>
      </c>
      <c r="M7" s="68">
        <f t="shared" si="3"/>
        <v>0.04202328641765618</v>
      </c>
      <c r="N7" s="68">
        <f t="shared" si="3"/>
        <v>0.012378974792627728</v>
      </c>
      <c r="O7" s="68">
        <f>O3/O4-1</f>
        <v>0.06961454245495524</v>
      </c>
      <c r="P7" s="68">
        <f>P3/P4-1</f>
        <v>0.015538965913235003</v>
      </c>
      <c r="Q7" s="68">
        <f>Q3/Q4-1</f>
        <v>-0.007614484268457455</v>
      </c>
      <c r="R7" s="68"/>
    </row>
    <row r="8" spans="1:18" ht="48.75" customHeight="1" thickBot="1">
      <c r="A8" s="75" t="s">
        <v>945</v>
      </c>
      <c r="B8" s="62" t="s">
        <v>2959</v>
      </c>
      <c r="C8" s="63" t="s">
        <v>2138</v>
      </c>
      <c r="D8" s="64">
        <v>5113.539</v>
      </c>
      <c r="E8" s="64">
        <v>5912.425</v>
      </c>
      <c r="F8" s="64">
        <v>6618.099</v>
      </c>
      <c r="G8" s="64">
        <v>7240.914</v>
      </c>
      <c r="H8" s="64">
        <v>7657.428</v>
      </c>
      <c r="I8" s="64">
        <v>8883.656</v>
      </c>
      <c r="J8" s="64">
        <v>10329.434</v>
      </c>
      <c r="K8" s="64">
        <v>12347.388</v>
      </c>
      <c r="L8" s="64">
        <v>12646.775</v>
      </c>
      <c r="M8" s="64">
        <v>13228.017</v>
      </c>
      <c r="N8" s="64">
        <v>12934.545</v>
      </c>
      <c r="O8" s="64">
        <v>16235.41</v>
      </c>
      <c r="P8" s="64">
        <v>16638.219</v>
      </c>
      <c r="Q8" s="64">
        <v>16006.777</v>
      </c>
      <c r="R8" s="64"/>
    </row>
    <row r="9" spans="1:18" ht="13.5" thickBot="1">
      <c r="A9" s="61"/>
      <c r="B9" s="69" t="s">
        <v>2960</v>
      </c>
      <c r="C9" s="66" t="s">
        <v>2138</v>
      </c>
      <c r="D9" s="67">
        <v>4949.307</v>
      </c>
      <c r="E9" s="67">
        <v>5384.977</v>
      </c>
      <c r="F9" s="67">
        <v>6232.408</v>
      </c>
      <c r="G9" s="67">
        <v>7161.262</v>
      </c>
      <c r="H9" s="67">
        <v>7516.926</v>
      </c>
      <c r="I9" s="67">
        <v>7973.941</v>
      </c>
      <c r="J9" s="67">
        <v>9517.756</v>
      </c>
      <c r="K9" s="67">
        <v>11528.891</v>
      </c>
      <c r="L9" s="67">
        <v>12623.477</v>
      </c>
      <c r="M9" s="67">
        <v>11688.539</v>
      </c>
      <c r="N9" s="67">
        <v>12968.091</v>
      </c>
      <c r="O9" s="67">
        <v>14108.177</v>
      </c>
      <c r="P9" s="67">
        <v>16647.487</v>
      </c>
      <c r="Q9" s="67">
        <v>16640.835</v>
      </c>
      <c r="R9" s="67"/>
    </row>
    <row r="10" spans="1:18" ht="13.5" thickBot="1">
      <c r="A10" s="61"/>
      <c r="B10" s="69" t="s">
        <v>2961</v>
      </c>
      <c r="C10" s="66" t="s">
        <v>3031</v>
      </c>
      <c r="D10" s="68">
        <f>D8/4215.874-1</f>
        <v>0.21292500677202408</v>
      </c>
      <c r="E10" s="68">
        <f>E8/D8-1</f>
        <v>0.15622957016657169</v>
      </c>
      <c r="F10" s="68">
        <f aca="true" t="shared" si="4" ref="F10:N10">F8/E8-1</f>
        <v>0.1193544104153541</v>
      </c>
      <c r="G10" s="68">
        <f t="shared" si="4"/>
        <v>0.09410783972859882</v>
      </c>
      <c r="H10" s="68">
        <f t="shared" si="4"/>
        <v>0.057522296218405655</v>
      </c>
      <c r="I10" s="68">
        <f t="shared" si="4"/>
        <v>0.16013575315367</v>
      </c>
      <c r="J10" s="68">
        <f t="shared" si="4"/>
        <v>0.16274583347216498</v>
      </c>
      <c r="K10" s="68">
        <f t="shared" si="4"/>
        <v>0.1953595908546395</v>
      </c>
      <c r="L10" s="68">
        <f t="shared" si="4"/>
        <v>0.024246990537593716</v>
      </c>
      <c r="M10" s="68">
        <f t="shared" si="4"/>
        <v>0.04595970118864301</v>
      </c>
      <c r="N10" s="68">
        <f t="shared" si="4"/>
        <v>-0.022185638255529883</v>
      </c>
      <c r="O10" s="68">
        <f>O8/N8-1</f>
        <v>0.25519761228554994</v>
      </c>
      <c r="P10" s="68">
        <f>P8/O8-1</f>
        <v>0.024810522185765516</v>
      </c>
      <c r="Q10" s="68">
        <f>Q8/P8-1</f>
        <v>-0.037951297551739205</v>
      </c>
      <c r="R10" s="68"/>
    </row>
    <row r="11" spans="1:18" ht="13.5" thickBot="1">
      <c r="A11" s="61"/>
      <c r="B11" s="69" t="s">
        <v>2962</v>
      </c>
      <c r="C11" s="66" t="s">
        <v>3031</v>
      </c>
      <c r="D11" s="68">
        <f aca="true" t="shared" si="5" ref="D11:N11">(1+D10)/(1+D12)-1</f>
        <v>0.1739693833354603</v>
      </c>
      <c r="E11" s="68">
        <f t="shared" si="5"/>
        <v>0.053082219574349665</v>
      </c>
      <c r="F11" s="68">
        <f t="shared" si="5"/>
        <v>0.0541204328173297</v>
      </c>
      <c r="G11" s="68">
        <f t="shared" si="5"/>
        <v>0.08207235944944302</v>
      </c>
      <c r="H11" s="68">
        <f t="shared" si="5"/>
        <v>0.03811839223611835</v>
      </c>
      <c r="I11" s="68">
        <f t="shared" si="5"/>
        <v>0.041334113752032664</v>
      </c>
      <c r="J11" s="68">
        <f t="shared" si="5"/>
        <v>0.07137827038777722</v>
      </c>
      <c r="K11" s="68">
        <f t="shared" si="5"/>
        <v>0.11612030242896165</v>
      </c>
      <c r="L11" s="68">
        <f t="shared" si="5"/>
        <v>0.02236011373417579</v>
      </c>
      <c r="M11" s="68">
        <f t="shared" si="5"/>
        <v>-0.07576919807618931</v>
      </c>
      <c r="N11" s="68">
        <f t="shared" si="5"/>
        <v>-0.01964965723887413</v>
      </c>
      <c r="O11" s="68">
        <f>(1+O10)/(1+O12)-1</f>
        <v>0.09073624159179916</v>
      </c>
      <c r="P11" s="68">
        <f>(1+P10)/(1+P12)-1</f>
        <v>0.025381373183676947</v>
      </c>
      <c r="Q11" s="68">
        <f>(1+Q10)/(1+Q12)-1</f>
        <v>0.00015722836681009156</v>
      </c>
      <c r="R11" s="68"/>
    </row>
    <row r="12" spans="1:18" ht="13.5" thickBot="1">
      <c r="A12" s="61"/>
      <c r="B12" s="69" t="s">
        <v>2963</v>
      </c>
      <c r="C12" s="66" t="s">
        <v>3031</v>
      </c>
      <c r="D12" s="68">
        <f>D8/D9-1</f>
        <v>0.03318282741401979</v>
      </c>
      <c r="E12" s="68">
        <f aca="true" t="shared" si="6" ref="E12:N12">E8/E9-1</f>
        <v>0.09794805066019796</v>
      </c>
      <c r="F12" s="68">
        <f t="shared" si="6"/>
        <v>0.06188474823856205</v>
      </c>
      <c r="G12" s="68">
        <f t="shared" si="6"/>
        <v>0.011122620566039965</v>
      </c>
      <c r="H12" s="68">
        <f t="shared" si="6"/>
        <v>0.018691417209641292</v>
      </c>
      <c r="I12" s="68">
        <f t="shared" si="6"/>
        <v>0.11408599587079982</v>
      </c>
      <c r="J12" s="68">
        <f t="shared" si="6"/>
        <v>0.08528039592525793</v>
      </c>
      <c r="K12" s="68">
        <f t="shared" si="6"/>
        <v>0.07099529347618971</v>
      </c>
      <c r="L12" s="68">
        <f t="shared" si="6"/>
        <v>0.0018456087811622446</v>
      </c>
      <c r="M12" s="68">
        <f t="shared" si="6"/>
        <v>0.13170833412114202</v>
      </c>
      <c r="N12" s="68">
        <f t="shared" si="6"/>
        <v>-0.0025868109654689775</v>
      </c>
      <c r="O12" s="68">
        <f>O8/O9-1</f>
        <v>0.15078014686093044</v>
      </c>
      <c r="P12" s="68">
        <f>P8/P9-1</f>
        <v>-0.0005567206630046062</v>
      </c>
      <c r="Q12" s="68">
        <f>Q8/Q9-1</f>
        <v>-0.03810253511918116</v>
      </c>
      <c r="R12" s="68"/>
    </row>
    <row r="13" spans="1:18" ht="13.5" thickBot="1">
      <c r="A13" s="61"/>
      <c r="B13" s="69" t="s">
        <v>2964</v>
      </c>
      <c r="C13" s="66" t="s">
        <v>3031</v>
      </c>
      <c r="D13" s="68">
        <f>D8/D3</f>
        <v>0.18034547348128824</v>
      </c>
      <c r="E13" s="68">
        <f aca="true" t="shared" si="7" ref="E13:N13">E8/E3</f>
        <v>0.18919911359290875</v>
      </c>
      <c r="F13" s="68">
        <f t="shared" si="7"/>
        <v>0.19496502259622006</v>
      </c>
      <c r="G13" s="68">
        <f t="shared" si="7"/>
        <v>0.198042991456727</v>
      </c>
      <c r="H13" s="68">
        <f t="shared" si="7"/>
        <v>0.18756158728048353</v>
      </c>
      <c r="I13" s="68">
        <f t="shared" si="7"/>
        <v>0.19261188182937902</v>
      </c>
      <c r="J13" s="68">
        <f t="shared" si="7"/>
        <v>0.19686406378546958</v>
      </c>
      <c r="K13" s="68">
        <f t="shared" si="7"/>
        <v>0.19800720597214716</v>
      </c>
      <c r="L13" s="68">
        <f t="shared" si="7"/>
        <v>0.17740059417842163</v>
      </c>
      <c r="M13" s="68">
        <f t="shared" si="7"/>
        <v>0.1874664523985124</v>
      </c>
      <c r="N13" s="68">
        <f t="shared" si="7"/>
        <v>0.1798871323257909</v>
      </c>
      <c r="O13" s="68">
        <f>O8/O3</f>
        <v>0.20699572286365758</v>
      </c>
      <c r="P13" s="68">
        <f>P8/P3</f>
        <v>0.2078624517876773</v>
      </c>
      <c r="Q13" s="68">
        <f>Q8/Q3</f>
        <v>0.19938303127489793</v>
      </c>
      <c r="R13" s="68"/>
    </row>
    <row r="14" spans="1:24" ht="13.5" customHeight="1" thickBot="1">
      <c r="A14" s="61"/>
      <c r="B14" s="69" t="s">
        <v>2965</v>
      </c>
      <c r="C14" s="66" t="s">
        <v>3031</v>
      </c>
      <c r="D14" s="68">
        <f>D9/D4</f>
        <v>0.18593795880510583</v>
      </c>
      <c r="E14" s="68">
        <f aca="true" t="shared" si="8" ref="E14:P14">E9/E4</f>
        <v>0.18296789601344718</v>
      </c>
      <c r="F14" s="68">
        <f t="shared" si="8"/>
        <v>0.19088650717681074</v>
      </c>
      <c r="G14" s="68">
        <f t="shared" si="8"/>
        <v>0.200239109352474</v>
      </c>
      <c r="H14" s="68">
        <f t="shared" si="8"/>
        <v>0.19293601845489558</v>
      </c>
      <c r="I14" s="68">
        <f t="shared" si="8"/>
        <v>0.18433650561376314</v>
      </c>
      <c r="J14" s="68">
        <f t="shared" si="8"/>
        <v>0.19381930279181686</v>
      </c>
      <c r="K14" s="68">
        <f t="shared" si="8"/>
        <v>0.2055274188451831</v>
      </c>
      <c r="L14" s="68">
        <f t="shared" si="8"/>
        <v>0.1914190723011329</v>
      </c>
      <c r="M14" s="68">
        <f t="shared" si="8"/>
        <v>0.17261020612087025</v>
      </c>
      <c r="N14" s="68">
        <f t="shared" si="8"/>
        <v>0.18258626675936712</v>
      </c>
      <c r="O14" s="68">
        <f t="shared" si="8"/>
        <v>0.19239612014935142</v>
      </c>
      <c r="P14" s="68">
        <f t="shared" si="8"/>
        <v>0.21121000431428252</v>
      </c>
      <c r="Q14" s="68">
        <f>Q9/Q4</f>
        <v>0.20570262376600998</v>
      </c>
      <c r="R14" s="68"/>
      <c r="X14" s="508"/>
    </row>
    <row r="15" spans="1:18" ht="24.75" thickBot="1">
      <c r="A15" s="70" t="s">
        <v>2966</v>
      </c>
      <c r="B15" s="62" t="s">
        <v>2967</v>
      </c>
      <c r="C15" s="63" t="s">
        <v>3191</v>
      </c>
      <c r="D15" s="64">
        <v>70.31362499999999</v>
      </c>
      <c r="E15" s="64">
        <v>71.76663333333333</v>
      </c>
      <c r="F15" s="64">
        <v>75.150425</v>
      </c>
      <c r="G15" s="64">
        <v>84.93654166666667</v>
      </c>
      <c r="H15" s="64">
        <v>95.85303333333333</v>
      </c>
      <c r="I15" s="64">
        <v>102.502725</v>
      </c>
      <c r="J15" s="64">
        <v>108.65531666666668</v>
      </c>
      <c r="K15" s="64">
        <v>119.11499166666665</v>
      </c>
      <c r="L15" s="64">
        <v>119.89298333333335</v>
      </c>
      <c r="M15" s="64">
        <v>98.00968333333333</v>
      </c>
      <c r="N15" s="64">
        <v>99.99995</v>
      </c>
      <c r="O15" s="64">
        <v>105.82553333333333</v>
      </c>
      <c r="P15" s="64">
        <v>105.449325</v>
      </c>
      <c r="Q15" s="64">
        <v>105.31465925000002</v>
      </c>
      <c r="R15" s="64">
        <v>107.38090349999999</v>
      </c>
    </row>
    <row r="16" spans="1:18" ht="26.25" thickBot="1">
      <c r="A16" s="71" t="s">
        <v>2968</v>
      </c>
      <c r="B16" s="72" t="s">
        <v>2969</v>
      </c>
      <c r="C16" s="73" t="s">
        <v>2970</v>
      </c>
      <c r="D16" s="64">
        <v>118.55311666666667</v>
      </c>
      <c r="E16" s="64">
        <v>107.64105833333333</v>
      </c>
      <c r="F16" s="64">
        <v>107.16538333333334</v>
      </c>
      <c r="G16" s="64">
        <v>113.76151666666668</v>
      </c>
      <c r="H16" s="64">
        <v>133.61213333333333</v>
      </c>
      <c r="I16" s="64">
        <v>132.2605</v>
      </c>
      <c r="J16" s="64">
        <v>133.34388333333334</v>
      </c>
      <c r="K16" s="64">
        <v>122.707225</v>
      </c>
      <c r="L16" s="64">
        <v>116.05452500000001</v>
      </c>
      <c r="M16" s="64">
        <v>98.699375</v>
      </c>
      <c r="N16" s="64">
        <v>99.99995</v>
      </c>
      <c r="O16" s="64">
        <v>108.15601666666669</v>
      </c>
      <c r="P16" s="64">
        <v>105.76278333333333</v>
      </c>
      <c r="Q16" s="64">
        <v>99.10815983333333</v>
      </c>
      <c r="R16" s="64">
        <v>98.06019833333335</v>
      </c>
    </row>
    <row r="17" spans="1:18" ht="13.5" thickBot="1">
      <c r="A17" s="61" t="s">
        <v>2971</v>
      </c>
      <c r="B17" s="74" t="s">
        <v>2972</v>
      </c>
      <c r="C17" s="75" t="s">
        <v>2970</v>
      </c>
      <c r="D17" s="67">
        <v>124.32203333333332</v>
      </c>
      <c r="E17" s="67">
        <v>109.67490833333335</v>
      </c>
      <c r="F17" s="67">
        <v>101.64420833333331</v>
      </c>
      <c r="G17" s="67">
        <v>112.30423333333334</v>
      </c>
      <c r="H17" s="67">
        <v>113.22628333333334</v>
      </c>
      <c r="I17" s="67">
        <v>102.27560000000001</v>
      </c>
      <c r="J17" s="67">
        <v>105.35255833333332</v>
      </c>
      <c r="K17" s="67">
        <v>110.04570833333332</v>
      </c>
      <c r="L17" s="67">
        <v>108.180875</v>
      </c>
      <c r="M17" s="67">
        <v>93.69295833333331</v>
      </c>
      <c r="N17" s="67">
        <v>99.999925</v>
      </c>
      <c r="O17" s="67">
        <v>123.6171</v>
      </c>
      <c r="P17" s="67">
        <v>107.972675</v>
      </c>
      <c r="Q17" s="67">
        <v>93.26268191666666</v>
      </c>
      <c r="R17" s="67">
        <v>101.74449383333332</v>
      </c>
    </row>
    <row r="18" spans="1:18" ht="13.5" thickBot="1">
      <c r="A18" s="61" t="s">
        <v>2973</v>
      </c>
      <c r="B18" s="74" t="s">
        <v>2974</v>
      </c>
      <c r="C18" s="75" t="s">
        <v>2970</v>
      </c>
      <c r="D18" s="67">
        <v>115.14386666666665</v>
      </c>
      <c r="E18" s="67">
        <v>105.9028</v>
      </c>
      <c r="F18" s="67">
        <v>110.00845</v>
      </c>
      <c r="G18" s="67">
        <v>112.58957500000001</v>
      </c>
      <c r="H18" s="67">
        <v>133.16254166666667</v>
      </c>
      <c r="I18" s="67">
        <v>133.39256666666668</v>
      </c>
      <c r="J18" s="67">
        <v>130.32084999999998</v>
      </c>
      <c r="K18" s="67">
        <v>108.54302499999999</v>
      </c>
      <c r="L18" s="67">
        <v>94.92641666666668</v>
      </c>
      <c r="M18" s="67">
        <v>95.598</v>
      </c>
      <c r="N18" s="67">
        <v>99.99994166666666</v>
      </c>
      <c r="O18" s="67">
        <v>91.50729166666666</v>
      </c>
      <c r="P18" s="67">
        <v>98.18464999999999</v>
      </c>
      <c r="Q18" s="67">
        <v>100.96551758333332</v>
      </c>
      <c r="R18" s="67">
        <v>95.01694783333333</v>
      </c>
    </row>
    <row r="19" spans="1:18" ht="26.25" thickBot="1">
      <c r="A19" s="61" t="s">
        <v>2975</v>
      </c>
      <c r="B19" s="74" t="s">
        <v>2976</v>
      </c>
      <c r="C19" s="75" t="s">
        <v>2970</v>
      </c>
      <c r="D19" s="67">
        <v>92.34843333333333</v>
      </c>
      <c r="E19" s="67">
        <v>90.120625</v>
      </c>
      <c r="F19" s="67">
        <v>97.97424166666666</v>
      </c>
      <c r="G19" s="67">
        <v>110.5375</v>
      </c>
      <c r="H19" s="67">
        <v>146.75986666666665</v>
      </c>
      <c r="I19" s="67">
        <v>151.30495</v>
      </c>
      <c r="J19" s="67">
        <v>165.82803333333337</v>
      </c>
      <c r="K19" s="67">
        <v>170.23611666666667</v>
      </c>
      <c r="L19" s="67">
        <v>185.59294999999997</v>
      </c>
      <c r="M19" s="67">
        <v>121.46002499999999</v>
      </c>
      <c r="N19" s="67">
        <v>99.99993333333333</v>
      </c>
      <c r="O19" s="67">
        <v>95.53645</v>
      </c>
      <c r="P19" s="67">
        <v>113.76950833333332</v>
      </c>
      <c r="Q19" s="67">
        <v>106.56783433333332</v>
      </c>
      <c r="R19" s="67">
        <v>110.43328191666667</v>
      </c>
    </row>
    <row r="20" spans="1:18" ht="24.75" thickBot="1">
      <c r="A20" s="70" t="s">
        <v>2966</v>
      </c>
      <c r="B20" s="62" t="s">
        <v>2977</v>
      </c>
      <c r="C20" s="63" t="s">
        <v>3191</v>
      </c>
      <c r="D20" s="64">
        <v>43.39926775833334</v>
      </c>
      <c r="E20" s="64">
        <v>46.566001525</v>
      </c>
      <c r="F20" s="64">
        <v>50.63764980000001</v>
      </c>
      <c r="G20" s="64">
        <v>53.00089785833334</v>
      </c>
      <c r="H20" s="64">
        <v>63.436400308333326</v>
      </c>
      <c r="I20" s="64">
        <v>70.76723500000001</v>
      </c>
      <c r="J20" s="64">
        <v>83.97814546666666</v>
      </c>
      <c r="K20" s="64">
        <v>96.52956075833333</v>
      </c>
      <c r="L20" s="64">
        <v>109.77533620833333</v>
      </c>
      <c r="M20" s="64">
        <v>87.62163146666667</v>
      </c>
      <c r="N20" s="64">
        <v>100.00000032499999</v>
      </c>
      <c r="O20" s="64">
        <v>117.22002750000001</v>
      </c>
      <c r="P20" s="64">
        <v>119.93422089166666</v>
      </c>
      <c r="Q20" s="64">
        <v>118.73847641666664</v>
      </c>
      <c r="R20" s="64">
        <v>118.82459041666668</v>
      </c>
    </row>
    <row r="21" spans="1:18" ht="26.25" thickBot="1">
      <c r="A21" s="61" t="s">
        <v>2968</v>
      </c>
      <c r="B21" s="72" t="s">
        <v>2969</v>
      </c>
      <c r="C21" s="73" t="s">
        <v>2970</v>
      </c>
      <c r="D21" s="64">
        <v>45.56689355</v>
      </c>
      <c r="E21" s="64">
        <v>44.04850910833334</v>
      </c>
      <c r="F21" s="64">
        <v>45.50521064166667</v>
      </c>
      <c r="G21" s="64">
        <v>48.94510291666666</v>
      </c>
      <c r="H21" s="64">
        <v>66.71113711666668</v>
      </c>
      <c r="I21" s="64">
        <v>71.26737100833334</v>
      </c>
      <c r="J21" s="64">
        <v>104.56183511666666</v>
      </c>
      <c r="K21" s="64">
        <v>104.46012814166666</v>
      </c>
      <c r="L21" s="64">
        <v>105.11357710833333</v>
      </c>
      <c r="M21" s="64">
        <v>85.425822025</v>
      </c>
      <c r="N21" s="64">
        <v>99.9999994</v>
      </c>
      <c r="O21" s="64">
        <v>121.72466968333333</v>
      </c>
      <c r="P21" s="64">
        <v>129.18914098333335</v>
      </c>
      <c r="Q21" s="64">
        <v>111.18593808333333</v>
      </c>
      <c r="R21" s="64">
        <v>100.97514274999999</v>
      </c>
    </row>
    <row r="22" spans="1:18" ht="13.5" thickBot="1">
      <c r="A22" s="61" t="s">
        <v>2971</v>
      </c>
      <c r="B22" s="74" t="s">
        <v>2972</v>
      </c>
      <c r="C22" s="75" t="s">
        <v>2970</v>
      </c>
      <c r="D22" s="67">
        <v>62.34264965</v>
      </c>
      <c r="E22" s="67">
        <v>58.468048216666666</v>
      </c>
      <c r="F22" s="67">
        <v>58.32618779999999</v>
      </c>
      <c r="G22" s="67">
        <v>66.28582224166666</v>
      </c>
      <c r="H22" s="67">
        <v>72.62918684166668</v>
      </c>
      <c r="I22" s="67">
        <v>67.17420500000001</v>
      </c>
      <c r="J22" s="67">
        <v>73.29937033333334</v>
      </c>
      <c r="K22" s="67">
        <v>84.81717486666668</v>
      </c>
      <c r="L22" s="67">
        <v>97.35324266666667</v>
      </c>
      <c r="M22" s="67">
        <v>94.77720540833332</v>
      </c>
      <c r="N22" s="67">
        <v>99.99999983333333</v>
      </c>
      <c r="O22" s="67">
        <v>121.78683365833332</v>
      </c>
      <c r="P22" s="67">
        <v>103.71259621666668</v>
      </c>
      <c r="Q22" s="67">
        <v>87.69853016666667</v>
      </c>
      <c r="R22" s="67">
        <v>94.60996608333335</v>
      </c>
    </row>
    <row r="23" spans="1:18" ht="13.5" thickBot="1">
      <c r="A23" s="61" t="s">
        <v>2973</v>
      </c>
      <c r="B23" s="74" t="s">
        <v>2974</v>
      </c>
      <c r="C23" s="75" t="s">
        <v>2970</v>
      </c>
      <c r="D23" s="67">
        <v>31.486119983333328</v>
      </c>
      <c r="E23" s="67">
        <v>30.7050081</v>
      </c>
      <c r="F23" s="67">
        <v>31.638097358333336</v>
      </c>
      <c r="G23" s="67">
        <v>31.986306474999996</v>
      </c>
      <c r="H23" s="67">
        <v>49.12129964166667</v>
      </c>
      <c r="I23" s="67">
        <v>54.217684</v>
      </c>
      <c r="J23" s="67">
        <v>102.57659571666666</v>
      </c>
      <c r="K23" s="67">
        <v>95.960122125</v>
      </c>
      <c r="L23" s="67">
        <v>84.24762538333333</v>
      </c>
      <c r="M23" s="67">
        <v>68.81127726666668</v>
      </c>
      <c r="N23" s="67">
        <v>99.99999999166668</v>
      </c>
      <c r="O23" s="67">
        <v>122.52292956666668</v>
      </c>
      <c r="P23" s="67">
        <v>137.61794604166667</v>
      </c>
      <c r="Q23" s="67">
        <v>119.77010633333333</v>
      </c>
      <c r="R23" s="67">
        <v>100.73092424999999</v>
      </c>
    </row>
    <row r="24" spans="1:18" ht="26.25" thickBot="1">
      <c r="A24" s="61" t="s">
        <v>2975</v>
      </c>
      <c r="B24" s="74" t="s">
        <v>2976</v>
      </c>
      <c r="C24" s="76" t="s">
        <v>2970</v>
      </c>
      <c r="D24" s="67">
        <v>61.85170203333333</v>
      </c>
      <c r="E24" s="67">
        <v>64.04372316666668</v>
      </c>
      <c r="F24" s="67">
        <v>71.8733442</v>
      </c>
      <c r="G24" s="67">
        <v>79.34139297499999</v>
      </c>
      <c r="H24" s="67">
        <v>112.76968245</v>
      </c>
      <c r="I24" s="67">
        <v>125.32637099166669</v>
      </c>
      <c r="J24" s="67">
        <v>154.23253855833335</v>
      </c>
      <c r="K24" s="67">
        <v>166.72804605833332</v>
      </c>
      <c r="L24" s="67">
        <v>195.7440633</v>
      </c>
      <c r="M24" s="67">
        <v>137.99477835833335</v>
      </c>
      <c r="N24" s="67">
        <v>100.00000019999999</v>
      </c>
      <c r="O24" s="67">
        <v>101.75456938333333</v>
      </c>
      <c r="P24" s="67">
        <v>139.26796385833333</v>
      </c>
      <c r="Q24" s="67">
        <v>123.10184075</v>
      </c>
      <c r="R24" s="67">
        <v>118.03764975</v>
      </c>
    </row>
    <row r="25" spans="1:18" ht="36.75" thickBot="1">
      <c r="A25" s="70" t="s">
        <v>2966</v>
      </c>
      <c r="B25" s="62" t="s">
        <v>1123</v>
      </c>
      <c r="C25" s="63" t="s">
        <v>3191</v>
      </c>
      <c r="D25" s="64">
        <v>46.127388225000004</v>
      </c>
      <c r="E25" s="64">
        <v>50.597317841666666</v>
      </c>
      <c r="F25" s="64">
        <v>56.11630405</v>
      </c>
      <c r="G25" s="64">
        <v>58.16847685</v>
      </c>
      <c r="H25" s="64">
        <v>68.1162946</v>
      </c>
      <c r="I25" s="64">
        <v>75.15526834166666</v>
      </c>
      <c r="J25" s="64">
        <v>85.23300765</v>
      </c>
      <c r="K25" s="64">
        <v>99.69399124166665</v>
      </c>
      <c r="L25" s="64">
        <v>117.35672077499999</v>
      </c>
      <c r="M25" s="64">
        <v>94.70157174166667</v>
      </c>
      <c r="N25" s="64">
        <v>99.99999973333335</v>
      </c>
      <c r="O25" s="64">
        <v>112.55714881666665</v>
      </c>
      <c r="P25" s="64">
        <v>113.46045537499998</v>
      </c>
      <c r="Q25" s="64">
        <v>108.98430016666667</v>
      </c>
      <c r="R25" s="64">
        <v>109.89886858333334</v>
      </c>
    </row>
    <row r="26" spans="1:18" ht="13.5" thickBot="1">
      <c r="A26" s="61" t="s">
        <v>2968</v>
      </c>
      <c r="B26" s="72" t="s">
        <v>2969</v>
      </c>
      <c r="C26" s="73" t="s">
        <v>2970</v>
      </c>
      <c r="D26" s="64">
        <v>45.02281704166666</v>
      </c>
      <c r="E26" s="64">
        <v>43.57867318333333</v>
      </c>
      <c r="F26" s="64">
        <v>46.01913386666667</v>
      </c>
      <c r="G26" s="64">
        <v>53.71149816666667</v>
      </c>
      <c r="H26" s="64">
        <v>72.772501825</v>
      </c>
      <c r="I26" s="64">
        <v>73.75991100833333</v>
      </c>
      <c r="J26" s="64">
        <v>97.79291927499999</v>
      </c>
      <c r="K26" s="64">
        <v>103.14595003333334</v>
      </c>
      <c r="L26" s="64">
        <v>108.961146025</v>
      </c>
      <c r="M26" s="64">
        <v>92.26750200833332</v>
      </c>
      <c r="N26" s="64">
        <v>99.99999934166668</v>
      </c>
      <c r="O26" s="64">
        <v>117.33972508333333</v>
      </c>
      <c r="P26" s="64">
        <v>116.20045335833332</v>
      </c>
      <c r="Q26" s="64">
        <v>106.653952</v>
      </c>
      <c r="R26" s="64">
        <v>97.94171241666668</v>
      </c>
    </row>
    <row r="27" spans="1:18" ht="13.5" thickBot="1">
      <c r="A27" s="61" t="s">
        <v>2971</v>
      </c>
      <c r="B27" s="74" t="s">
        <v>2972</v>
      </c>
      <c r="C27" s="75" t="s">
        <v>2970</v>
      </c>
      <c r="D27" s="67">
        <v>62.34264965</v>
      </c>
      <c r="E27" s="67">
        <v>58.468048216666666</v>
      </c>
      <c r="F27" s="67">
        <v>58.32618779999999</v>
      </c>
      <c r="G27" s="67">
        <v>66.28582224166666</v>
      </c>
      <c r="H27" s="67">
        <v>72.62918684166668</v>
      </c>
      <c r="I27" s="67">
        <v>67.17420500000001</v>
      </c>
      <c r="J27" s="67">
        <v>73.29937033333334</v>
      </c>
      <c r="K27" s="67">
        <v>84.81717486666668</v>
      </c>
      <c r="L27" s="67">
        <v>97.35324266666667</v>
      </c>
      <c r="M27" s="67">
        <v>94.77720540833332</v>
      </c>
      <c r="N27" s="67">
        <v>99.99999983333333</v>
      </c>
      <c r="O27" s="67">
        <v>121.78683365833332</v>
      </c>
      <c r="P27" s="67">
        <v>103.81433946666668</v>
      </c>
      <c r="Q27" s="67">
        <v>88.1930815</v>
      </c>
      <c r="R27" s="67">
        <v>95.1434925</v>
      </c>
    </row>
    <row r="28" spans="1:18" ht="13.5" thickBot="1">
      <c r="A28" s="61" t="s">
        <v>2973</v>
      </c>
      <c r="B28" s="74" t="s">
        <v>2974</v>
      </c>
      <c r="C28" s="75" t="s">
        <v>2970</v>
      </c>
      <c r="D28" s="67">
        <v>28.258776025000003</v>
      </c>
      <c r="E28" s="67">
        <v>28.248451283333328</v>
      </c>
      <c r="F28" s="67">
        <v>30.47902893333333</v>
      </c>
      <c r="G28" s="67">
        <v>37.04468202499999</v>
      </c>
      <c r="H28" s="67">
        <v>56.14012226666665</v>
      </c>
      <c r="I28" s="67">
        <v>54.47612100833334</v>
      </c>
      <c r="J28" s="67">
        <v>92.10208737500001</v>
      </c>
      <c r="K28" s="67">
        <v>96.64925032500001</v>
      </c>
      <c r="L28" s="67">
        <v>89.40058624999999</v>
      </c>
      <c r="M28" s="67">
        <v>78.32758264166667</v>
      </c>
      <c r="N28" s="67">
        <v>99.99999945</v>
      </c>
      <c r="O28" s="67">
        <v>113.06518914166668</v>
      </c>
      <c r="P28" s="67">
        <v>123.08714129166667</v>
      </c>
      <c r="Q28" s="67">
        <v>117.33288941666666</v>
      </c>
      <c r="R28" s="67">
        <v>97.43697999999999</v>
      </c>
    </row>
    <row r="29" spans="1:18" ht="26.25" thickBot="1">
      <c r="A29" s="61" t="s">
        <v>2975</v>
      </c>
      <c r="B29" s="74" t="s">
        <v>2976</v>
      </c>
      <c r="C29" s="76" t="s">
        <v>2970</v>
      </c>
      <c r="D29" s="67">
        <v>44.18697396666667</v>
      </c>
      <c r="E29" s="67">
        <v>46.19631703333332</v>
      </c>
      <c r="F29" s="67">
        <v>56.78035549166666</v>
      </c>
      <c r="G29" s="67">
        <v>69.12870119166665</v>
      </c>
      <c r="H29" s="67">
        <v>106.44624615</v>
      </c>
      <c r="I29" s="67">
        <v>117.92452800833333</v>
      </c>
      <c r="J29" s="67">
        <v>143.10643414166668</v>
      </c>
      <c r="K29" s="67">
        <v>146.90384624166666</v>
      </c>
      <c r="L29" s="67">
        <v>179.28720094166667</v>
      </c>
      <c r="M29" s="67">
        <v>131.65290847499998</v>
      </c>
      <c r="N29" s="67">
        <v>99.99999975833332</v>
      </c>
      <c r="O29" s="67">
        <v>100.51100603333335</v>
      </c>
      <c r="P29" s="67">
        <v>109.56316906666667</v>
      </c>
      <c r="Q29" s="67">
        <v>108.69556775000001</v>
      </c>
      <c r="R29" s="67">
        <v>105.24836341666668</v>
      </c>
    </row>
    <row r="30" spans="1:18" ht="36.75" thickBot="1">
      <c r="A30" s="70" t="s">
        <v>2966</v>
      </c>
      <c r="B30" s="62" t="s">
        <v>1124</v>
      </c>
      <c r="C30" s="63" t="s">
        <v>3191</v>
      </c>
      <c r="D30" s="64">
        <v>38.47871915833334</v>
      </c>
      <c r="E30" s="64">
        <v>39.28423764166666</v>
      </c>
      <c r="F30" s="64">
        <v>40.73387353333333</v>
      </c>
      <c r="G30" s="64">
        <v>43.66269295833333</v>
      </c>
      <c r="H30" s="64">
        <v>54.98902658333333</v>
      </c>
      <c r="I30" s="64">
        <v>62.85355101666668</v>
      </c>
      <c r="J30" s="64">
        <v>81.75421094166667</v>
      </c>
      <c r="K30" s="64">
        <v>90.85054864166666</v>
      </c>
      <c r="L30" s="64">
        <v>96.09493995833333</v>
      </c>
      <c r="M30" s="64">
        <v>74.87429263333333</v>
      </c>
      <c r="N30" s="64">
        <v>99.99999963333333</v>
      </c>
      <c r="O30" s="64">
        <v>125.60234607500001</v>
      </c>
      <c r="P30" s="64">
        <v>131.59486300000003</v>
      </c>
      <c r="Q30" s="64">
        <v>136.54417958333332</v>
      </c>
      <c r="R30" s="64">
        <v>135.11799691666667</v>
      </c>
    </row>
    <row r="31" spans="1:18" ht="13.5" thickBot="1">
      <c r="A31" s="61" t="s">
        <v>2968</v>
      </c>
      <c r="B31" s="72" t="s">
        <v>2969</v>
      </c>
      <c r="C31" s="73" t="s">
        <v>2970</v>
      </c>
      <c r="D31" s="64">
        <v>47.53885839166666</v>
      </c>
      <c r="E31" s="64">
        <v>45.75184739166667</v>
      </c>
      <c r="F31" s="64">
        <v>43.640578125</v>
      </c>
      <c r="G31" s="64">
        <v>31.65202035</v>
      </c>
      <c r="H31" s="64">
        <v>44.722844900000005</v>
      </c>
      <c r="I31" s="64">
        <v>62.227754</v>
      </c>
      <c r="J31" s="64">
        <v>129.13008999166667</v>
      </c>
      <c r="K31" s="64">
        <v>109.23704087499999</v>
      </c>
      <c r="L31" s="64">
        <v>91.16319689166666</v>
      </c>
      <c r="M31" s="64">
        <v>60.615018033333335</v>
      </c>
      <c r="N31" s="64">
        <v>100.00000067500001</v>
      </c>
      <c r="O31" s="64">
        <v>137.63223491666665</v>
      </c>
      <c r="P31" s="64">
        <v>178.26247374166667</v>
      </c>
      <c r="Q31" s="64">
        <v>133.16292875</v>
      </c>
      <c r="R31" s="64">
        <v>115.68517816666666</v>
      </c>
    </row>
    <row r="32" spans="1:18" ht="13.5" thickBot="1">
      <c r="A32" s="61" t="s">
        <v>2973</v>
      </c>
      <c r="B32" s="74" t="s">
        <v>2974</v>
      </c>
      <c r="C32" s="75" t="s">
        <v>2970</v>
      </c>
      <c r="D32" s="67">
        <v>37.317748</v>
      </c>
      <c r="E32" s="67">
        <v>35.144522200000004</v>
      </c>
      <c r="F32" s="67">
        <v>33.73444384166667</v>
      </c>
      <c r="G32" s="67">
        <v>22.85401083333333</v>
      </c>
      <c r="H32" s="67">
        <v>36.45011035833333</v>
      </c>
      <c r="I32" s="67">
        <v>53.756215991666664</v>
      </c>
      <c r="J32" s="67">
        <v>121.50347769166666</v>
      </c>
      <c r="K32" s="67">
        <v>94.72488369166666</v>
      </c>
      <c r="L32" s="67">
        <v>74.94958705833334</v>
      </c>
      <c r="M32" s="67">
        <v>51.63284546666666</v>
      </c>
      <c r="N32" s="67">
        <v>100.00000080000001</v>
      </c>
      <c r="O32" s="67">
        <v>139.595933575</v>
      </c>
      <c r="P32" s="67">
        <v>165.35994770833335</v>
      </c>
      <c r="Q32" s="67">
        <v>125.80234374999999</v>
      </c>
      <c r="R32" s="67">
        <v>108.88360483333337</v>
      </c>
    </row>
    <row r="33" spans="1:18" ht="26.25" thickBot="1">
      <c r="A33" s="61" t="s">
        <v>2975</v>
      </c>
      <c r="B33" s="74" t="s">
        <v>2976</v>
      </c>
      <c r="C33" s="76" t="s">
        <v>2970</v>
      </c>
      <c r="D33" s="67">
        <v>186.95764591666668</v>
      </c>
      <c r="E33" s="67">
        <v>190.443491175</v>
      </c>
      <c r="F33" s="67">
        <v>178.76624934166668</v>
      </c>
      <c r="G33" s="67">
        <v>151.671676875</v>
      </c>
      <c r="H33" s="67">
        <v>157.5569138</v>
      </c>
      <c r="I33" s="67">
        <v>177.75144400833332</v>
      </c>
      <c r="J33" s="67">
        <v>233.03428875</v>
      </c>
      <c r="K33" s="67">
        <v>307.131229975</v>
      </c>
      <c r="L33" s="67">
        <v>312.30033299166666</v>
      </c>
      <c r="M33" s="67">
        <v>182.9951116</v>
      </c>
      <c r="N33" s="67">
        <v>99.99999987500001</v>
      </c>
      <c r="O33" s="67">
        <v>110.63546127500001</v>
      </c>
      <c r="P33" s="67">
        <v>408.92718965833336</v>
      </c>
      <c r="Q33" s="67">
        <v>537.1366105833332</v>
      </c>
      <c r="R33" s="67">
        <v>485.6003995833333</v>
      </c>
    </row>
    <row r="34" spans="1:18" ht="24.75" thickBot="1">
      <c r="A34" s="70" t="s">
        <v>2966</v>
      </c>
      <c r="B34" s="77" t="s">
        <v>1125</v>
      </c>
      <c r="C34" s="63" t="s">
        <v>3191</v>
      </c>
      <c r="D34" s="64"/>
      <c r="E34" s="64"/>
      <c r="F34" s="64"/>
      <c r="G34" s="64"/>
      <c r="H34" s="64"/>
      <c r="I34" s="64">
        <v>73.57065683333333</v>
      </c>
      <c r="J34" s="64">
        <v>82.63070416666667</v>
      </c>
      <c r="K34" s="64">
        <v>88.95075600000001</v>
      </c>
      <c r="L34" s="64">
        <v>98.43909291666665</v>
      </c>
      <c r="M34" s="64">
        <v>91.98918932553607</v>
      </c>
      <c r="N34" s="64">
        <v>99.9999995</v>
      </c>
      <c r="O34" s="64">
        <v>109.44764624999999</v>
      </c>
      <c r="P34" s="64">
        <v>114.08561349999998</v>
      </c>
      <c r="Q34" s="64">
        <v>112.27542383333332</v>
      </c>
      <c r="R34" s="64">
        <v>110.95</v>
      </c>
    </row>
    <row r="35" spans="1:18" ht="13.5" thickBot="1">
      <c r="A35" s="61" t="s">
        <v>2968</v>
      </c>
      <c r="B35" s="72" t="s">
        <v>2969</v>
      </c>
      <c r="C35" s="73" t="s">
        <v>2970</v>
      </c>
      <c r="D35" s="64"/>
      <c r="E35" s="64"/>
      <c r="F35" s="64"/>
      <c r="G35" s="64"/>
      <c r="H35" s="64"/>
      <c r="I35" s="64">
        <v>55.75268941666667</v>
      </c>
      <c r="J35" s="64">
        <v>83.07324700000001</v>
      </c>
      <c r="K35" s="64">
        <v>92.48659874999998</v>
      </c>
      <c r="L35" s="64">
        <v>97.75412775</v>
      </c>
      <c r="M35" s="64">
        <v>85.79299341666668</v>
      </c>
      <c r="N35" s="64">
        <v>99.99999908333332</v>
      </c>
      <c r="O35" s="64">
        <v>115.75468575000001</v>
      </c>
      <c r="P35" s="64">
        <v>118.873274</v>
      </c>
      <c r="Q35" s="64">
        <v>108.44667575</v>
      </c>
      <c r="R35" s="64">
        <v>99.625</v>
      </c>
    </row>
    <row r="36" spans="1:18" ht="13.5" thickBot="1">
      <c r="A36" s="61" t="s">
        <v>2971</v>
      </c>
      <c r="B36" s="74" t="s">
        <v>2972</v>
      </c>
      <c r="C36" s="75" t="s">
        <v>2970</v>
      </c>
      <c r="D36" s="67"/>
      <c r="E36" s="67"/>
      <c r="F36" s="67"/>
      <c r="G36" s="67"/>
      <c r="H36" s="67"/>
      <c r="I36" s="67">
        <v>61.89069683333333</v>
      </c>
      <c r="J36" s="67">
        <v>67.35324399999999</v>
      </c>
      <c r="K36" s="67">
        <v>73.47047824999999</v>
      </c>
      <c r="L36" s="67">
        <v>87.59714058333334</v>
      </c>
      <c r="M36" s="67">
        <v>99.75290841666667</v>
      </c>
      <c r="N36" s="67">
        <v>100.00000016666668</v>
      </c>
      <c r="O36" s="67">
        <v>99.29113833333332</v>
      </c>
      <c r="P36" s="67">
        <v>97.44249474999998</v>
      </c>
      <c r="Q36" s="67">
        <v>95.82962500000001</v>
      </c>
      <c r="R36" s="67">
        <v>93.89166666666667</v>
      </c>
    </row>
    <row r="37" spans="1:18" ht="13.5" thickBot="1">
      <c r="A37" s="61" t="s">
        <v>2973</v>
      </c>
      <c r="B37" s="74" t="s">
        <v>2974</v>
      </c>
      <c r="C37" s="75" t="s">
        <v>2970</v>
      </c>
      <c r="D37" s="67"/>
      <c r="E37" s="67"/>
      <c r="F37" s="67"/>
      <c r="G37" s="67"/>
      <c r="H37" s="67"/>
      <c r="I37" s="67">
        <v>45.1912375</v>
      </c>
      <c r="J37" s="67">
        <v>90.12758458333332</v>
      </c>
      <c r="K37" s="67">
        <v>101.79957825000001</v>
      </c>
      <c r="L37" s="67">
        <v>98.16838975</v>
      </c>
      <c r="M37" s="67">
        <v>73.04803266666666</v>
      </c>
      <c r="N37" s="67">
        <v>99.99999974999999</v>
      </c>
      <c r="O37" s="67">
        <v>128.4098515</v>
      </c>
      <c r="P37" s="67">
        <v>131.72919958333333</v>
      </c>
      <c r="Q37" s="67">
        <v>114.01388625000003</v>
      </c>
      <c r="R37" s="67">
        <v>100.1083333333333</v>
      </c>
    </row>
    <row r="38" spans="1:18" ht="26.25" thickBot="1">
      <c r="A38" s="61" t="s">
        <v>2975</v>
      </c>
      <c r="B38" s="74" t="s">
        <v>2976</v>
      </c>
      <c r="C38" s="76" t="s">
        <v>2970</v>
      </c>
      <c r="D38" s="67"/>
      <c r="E38" s="67"/>
      <c r="F38" s="67"/>
      <c r="G38" s="67"/>
      <c r="H38" s="67"/>
      <c r="I38" s="67">
        <v>76.78516383333334</v>
      </c>
      <c r="J38" s="67">
        <v>85.82002608333333</v>
      </c>
      <c r="K38" s="67">
        <v>90.93285183333334</v>
      </c>
      <c r="L38" s="67">
        <v>100.82091374999999</v>
      </c>
      <c r="M38" s="67">
        <v>102.91812233333336</v>
      </c>
      <c r="N38" s="67">
        <v>99.99999983333333</v>
      </c>
      <c r="O38" s="67">
        <v>100.56594866666667</v>
      </c>
      <c r="P38" s="67">
        <v>105.25139183333333</v>
      </c>
      <c r="Q38" s="67">
        <v>106.56234133333334</v>
      </c>
      <c r="R38" s="67">
        <v>105.79166666666667</v>
      </c>
    </row>
    <row r="39" spans="1:18" ht="36.75" thickBot="1">
      <c r="A39" s="70" t="s">
        <v>2966</v>
      </c>
      <c r="B39" s="77" t="s">
        <v>1127</v>
      </c>
      <c r="C39" s="63" t="s">
        <v>3191</v>
      </c>
      <c r="D39" s="64">
        <v>59.67789308333332</v>
      </c>
      <c r="E39" s="64">
        <v>61.77760139166667</v>
      </c>
      <c r="F39" s="64">
        <v>63.12016990833333</v>
      </c>
      <c r="G39" s="64">
        <v>64.87327215833334</v>
      </c>
      <c r="H39" s="64">
        <v>68.39277128333335</v>
      </c>
      <c r="I39" s="64">
        <v>73.36691902500002</v>
      </c>
      <c r="J39" s="64">
        <v>79.73827270833333</v>
      </c>
      <c r="K39" s="64">
        <v>86.10371638333334</v>
      </c>
      <c r="L39" s="64">
        <v>97.51329288333334</v>
      </c>
      <c r="M39" s="64">
        <v>93.32679145833332</v>
      </c>
      <c r="N39" s="64">
        <v>100.00000021666666</v>
      </c>
      <c r="O39" s="64">
        <v>108.644902875</v>
      </c>
      <c r="P39" s="64">
        <v>114.39945874166665</v>
      </c>
      <c r="Q39" s="64">
        <v>112.90338366666667</v>
      </c>
      <c r="R39" s="64">
        <v>111.93333333333332</v>
      </c>
    </row>
    <row r="40" spans="1:18" ht="13.5" thickBot="1">
      <c r="A40" s="61" t="s">
        <v>2968</v>
      </c>
      <c r="B40" s="72" t="s">
        <v>2969</v>
      </c>
      <c r="C40" s="73" t="s">
        <v>2970</v>
      </c>
      <c r="D40" s="64">
        <v>39.347022216666666</v>
      </c>
      <c r="E40" s="64">
        <v>41.587244950000006</v>
      </c>
      <c r="F40" s="64">
        <v>42.59556210833333</v>
      </c>
      <c r="G40" s="64">
        <v>43.17106372499999</v>
      </c>
      <c r="H40" s="64">
        <v>49.69370273333333</v>
      </c>
      <c r="I40" s="64">
        <v>54.82011299166666</v>
      </c>
      <c r="J40" s="64">
        <v>78.23699960833333</v>
      </c>
      <c r="K40" s="64">
        <v>87.39973508333334</v>
      </c>
      <c r="L40" s="64">
        <v>91.58915868333334</v>
      </c>
      <c r="M40" s="64">
        <v>84.10207991666667</v>
      </c>
      <c r="N40" s="64">
        <v>99.99999949166669</v>
      </c>
      <c r="O40" s="64">
        <v>106.6030958</v>
      </c>
      <c r="P40" s="64">
        <v>107.46805178333334</v>
      </c>
      <c r="Q40" s="64">
        <v>98.59391516666666</v>
      </c>
      <c r="R40" s="64">
        <v>92.94166666666666</v>
      </c>
    </row>
    <row r="41" spans="1:18" ht="13.5" thickBot="1">
      <c r="A41" s="61" t="s">
        <v>2971</v>
      </c>
      <c r="B41" s="74" t="s">
        <v>2972</v>
      </c>
      <c r="C41" s="75" t="s">
        <v>2970</v>
      </c>
      <c r="D41" s="67">
        <v>49.64900224166666</v>
      </c>
      <c r="E41" s="67">
        <v>52.89483895833333</v>
      </c>
      <c r="F41" s="67">
        <v>56.92644306666666</v>
      </c>
      <c r="G41" s="67">
        <v>57.55300340833333</v>
      </c>
      <c r="H41" s="67">
        <v>59.79703487499999</v>
      </c>
      <c r="I41" s="67">
        <v>62.239712000000004</v>
      </c>
      <c r="J41" s="67">
        <v>67.73306379999998</v>
      </c>
      <c r="K41" s="67">
        <v>73.88479444166667</v>
      </c>
      <c r="L41" s="67">
        <v>88.09111996666667</v>
      </c>
      <c r="M41" s="67">
        <v>100.315436725</v>
      </c>
      <c r="N41" s="67">
        <v>100.00000068333334</v>
      </c>
      <c r="O41" s="67">
        <v>99.30429035833333</v>
      </c>
      <c r="P41" s="67">
        <v>97.43316916666664</v>
      </c>
      <c r="Q41" s="67">
        <v>95.81995691666667</v>
      </c>
      <c r="R41" s="67">
        <v>93.85833333333333</v>
      </c>
    </row>
    <row r="42" spans="1:18" ht="13.5" thickBot="1">
      <c r="A42" s="61" t="s">
        <v>2973</v>
      </c>
      <c r="B42" s="74" t="s">
        <v>2974</v>
      </c>
      <c r="C42" s="75" t="s">
        <v>2970</v>
      </c>
      <c r="D42" s="67">
        <v>24.039307241666666</v>
      </c>
      <c r="E42" s="67">
        <v>24.998499941666665</v>
      </c>
      <c r="F42" s="67">
        <v>23.591191175000002</v>
      </c>
      <c r="G42" s="67">
        <v>23.98239810833333</v>
      </c>
      <c r="H42" s="67">
        <v>35.37429326666666</v>
      </c>
      <c r="I42" s="67">
        <v>40.63376900833334</v>
      </c>
      <c r="J42" s="67">
        <v>82.24149221666667</v>
      </c>
      <c r="K42" s="67">
        <v>93.61872479166668</v>
      </c>
      <c r="L42" s="67">
        <v>83.58844748333333</v>
      </c>
      <c r="M42" s="67">
        <v>64.859297</v>
      </c>
      <c r="N42" s="67">
        <v>100.00000010833334</v>
      </c>
      <c r="O42" s="67">
        <v>111.95770901666668</v>
      </c>
      <c r="P42" s="67">
        <v>110.503697375</v>
      </c>
      <c r="Q42" s="67">
        <v>96.48505025000001</v>
      </c>
      <c r="R42" s="67">
        <v>87.075</v>
      </c>
    </row>
    <row r="43" spans="1:18" ht="26.25" thickBot="1">
      <c r="A43" s="61" t="s">
        <v>2975</v>
      </c>
      <c r="B43" s="74" t="s">
        <v>2976</v>
      </c>
      <c r="C43" s="75" t="s">
        <v>2970</v>
      </c>
      <c r="D43" s="67">
        <v>59.00809404166666</v>
      </c>
      <c r="E43" s="67">
        <v>64.12392148333333</v>
      </c>
      <c r="F43" s="67">
        <v>65.97700001666666</v>
      </c>
      <c r="G43" s="67">
        <v>67.62914152499998</v>
      </c>
      <c r="H43" s="67">
        <v>69.76668720833335</v>
      </c>
      <c r="I43" s="67">
        <v>76.55213300833334</v>
      </c>
      <c r="J43" s="67">
        <v>85.76198190833333</v>
      </c>
      <c r="K43" s="67">
        <v>91.05923958333331</v>
      </c>
      <c r="L43" s="67">
        <v>101.28944307500001</v>
      </c>
      <c r="M43" s="67">
        <v>103.08492368333333</v>
      </c>
      <c r="N43" s="67">
        <v>100.00000029166667</v>
      </c>
      <c r="O43" s="67">
        <v>100.40306004166666</v>
      </c>
      <c r="P43" s="67">
        <v>105.14989315833334</v>
      </c>
      <c r="Q43" s="67">
        <v>105.77420566666667</v>
      </c>
      <c r="R43" s="67">
        <v>105.08333333333333</v>
      </c>
    </row>
    <row r="46" ht="12.75">
      <c r="B46" s="158" t="s">
        <v>3080</v>
      </c>
    </row>
    <row r="47" ht="12.75">
      <c r="B47" s="162" t="s">
        <v>111</v>
      </c>
    </row>
  </sheetData>
  <sheetProtection/>
  <printOptions horizontalCentered="1"/>
  <pageMargins left="0.15748031496062992" right="0.15748031496062992" top="0.984251968503937" bottom="0.3937007874015748" header="0.5118110236220472" footer="0.1181102362204724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"/>
    </sheetView>
  </sheetViews>
  <sheetFormatPr defaultColWidth="9.140625" defaultRowHeight="12.75"/>
  <cols>
    <col min="1" max="1" width="40.140625" style="82" customWidth="1"/>
    <col min="2" max="2" width="8.7109375" style="121" customWidth="1"/>
    <col min="3" max="4" width="10.7109375" style="121" customWidth="1"/>
    <col min="5" max="16" width="10.7109375" style="82" customWidth="1"/>
    <col min="17" max="16384" width="9.140625" style="82" customWidth="1"/>
  </cols>
  <sheetData>
    <row r="1" spans="1:16" ht="24.75" customHeight="1" thickBot="1">
      <c r="A1" s="691" t="s">
        <v>1130</v>
      </c>
      <c r="B1" s="692"/>
      <c r="C1" s="692"/>
      <c r="D1" s="692"/>
      <c r="E1" s="692"/>
      <c r="F1" s="692"/>
      <c r="G1" s="692"/>
      <c r="H1" s="692"/>
      <c r="I1" s="692"/>
      <c r="J1" s="692"/>
      <c r="L1" s="122"/>
      <c r="M1" s="122"/>
      <c r="N1" s="122"/>
      <c r="O1" s="122"/>
      <c r="P1" s="81" t="s">
        <v>2262</v>
      </c>
    </row>
    <row r="2" spans="1:16" ht="13.5" customHeight="1">
      <c r="A2" s="684" t="s">
        <v>1803</v>
      </c>
      <c r="B2" s="686" t="s">
        <v>1131</v>
      </c>
      <c r="C2" s="686">
        <v>2000</v>
      </c>
      <c r="D2" s="688">
        <f aca="true" t="shared" si="0" ref="D2:M2">C2+1</f>
        <v>2001</v>
      </c>
      <c r="E2" s="688">
        <f t="shared" si="0"/>
        <v>2002</v>
      </c>
      <c r="F2" s="688">
        <f t="shared" si="0"/>
        <v>2003</v>
      </c>
      <c r="G2" s="688">
        <f t="shared" si="0"/>
        <v>2004</v>
      </c>
      <c r="H2" s="688">
        <f t="shared" si="0"/>
        <v>2005</v>
      </c>
      <c r="I2" s="688">
        <f t="shared" si="0"/>
        <v>2006</v>
      </c>
      <c r="J2" s="688">
        <f t="shared" si="0"/>
        <v>2007</v>
      </c>
      <c r="K2" s="688">
        <f t="shared" si="0"/>
        <v>2008</v>
      </c>
      <c r="L2" s="688">
        <f t="shared" si="0"/>
        <v>2009</v>
      </c>
      <c r="M2" s="688">
        <f t="shared" si="0"/>
        <v>2010</v>
      </c>
      <c r="N2" s="688">
        <f>M2+1</f>
        <v>2011</v>
      </c>
      <c r="O2" s="688">
        <f>N2+1</f>
        <v>2012</v>
      </c>
      <c r="P2" s="688">
        <f>O2+1</f>
        <v>2013</v>
      </c>
    </row>
    <row r="3" spans="1:16" ht="13.5" customHeight="1" thickBot="1">
      <c r="A3" s="685"/>
      <c r="B3" s="687"/>
      <c r="C3" s="687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</row>
    <row r="4" spans="1:16" ht="13.5" customHeight="1" thickBot="1">
      <c r="A4" s="83" t="s">
        <v>1132</v>
      </c>
      <c r="B4" s="84">
        <v>11110</v>
      </c>
      <c r="C4" s="84"/>
      <c r="D4" s="84"/>
      <c r="E4" s="85">
        <v>187</v>
      </c>
      <c r="F4" s="85">
        <v>207</v>
      </c>
      <c r="G4" s="85">
        <v>228</v>
      </c>
      <c r="H4" s="85">
        <v>250</v>
      </c>
      <c r="I4" s="85">
        <v>273</v>
      </c>
      <c r="J4" s="85">
        <v>307</v>
      </c>
      <c r="K4" s="86">
        <v>353</v>
      </c>
      <c r="L4" s="86">
        <v>373</v>
      </c>
      <c r="M4" s="86">
        <v>378</v>
      </c>
      <c r="N4" s="86">
        <v>379</v>
      </c>
      <c r="O4" s="86">
        <v>382</v>
      </c>
      <c r="P4" s="86">
        <v>386</v>
      </c>
    </row>
    <row r="5" spans="1:16" ht="13.5" customHeight="1" thickBot="1">
      <c r="A5" s="88" t="s">
        <v>1133</v>
      </c>
      <c r="B5" s="84">
        <v>12110</v>
      </c>
      <c r="C5" s="84"/>
      <c r="D5" s="84"/>
      <c r="E5" s="85">
        <v>1009778</v>
      </c>
      <c r="F5" s="85">
        <v>1060022</v>
      </c>
      <c r="G5" s="85">
        <v>1380566</v>
      </c>
      <c r="H5" s="85">
        <v>1554536</v>
      </c>
      <c r="I5" s="85">
        <v>2216183</v>
      </c>
      <c r="J5" s="85">
        <v>2334640</v>
      </c>
      <c r="K5" s="86">
        <v>2286708</v>
      </c>
      <c r="L5" s="86">
        <v>1870995</v>
      </c>
      <c r="M5" s="86">
        <v>2224573</v>
      </c>
      <c r="N5" s="86">
        <v>2764611</v>
      </c>
      <c r="O5" s="86">
        <v>2904390</v>
      </c>
      <c r="P5" s="86">
        <v>2520238</v>
      </c>
    </row>
    <row r="6" spans="1:16" ht="13.5" customHeight="1" thickBot="1">
      <c r="A6" s="88" t="s">
        <v>1134</v>
      </c>
      <c r="B6" s="84">
        <v>12120</v>
      </c>
      <c r="C6" s="84"/>
      <c r="D6" s="84"/>
      <c r="E6" s="85">
        <v>998682</v>
      </c>
      <c r="F6" s="85">
        <v>1039320</v>
      </c>
      <c r="G6" s="85">
        <v>1333101</v>
      </c>
      <c r="H6" s="85">
        <v>1509387</v>
      </c>
      <c r="I6" s="85">
        <v>2154127</v>
      </c>
      <c r="J6" s="85">
        <v>2271658</v>
      </c>
      <c r="K6" s="86">
        <v>2378280</v>
      </c>
      <c r="L6" s="86">
        <v>1925198</v>
      </c>
      <c r="M6" s="86">
        <v>2286017</v>
      </c>
      <c r="N6" s="86">
        <v>2802188</v>
      </c>
      <c r="O6" s="86">
        <v>2969775</v>
      </c>
      <c r="P6" s="86">
        <v>2557016</v>
      </c>
    </row>
    <row r="7" spans="1:16" ht="13.5" customHeight="1" thickBot="1">
      <c r="A7" s="88" t="s">
        <v>1135</v>
      </c>
      <c r="B7" s="84">
        <v>12150</v>
      </c>
      <c r="C7" s="84"/>
      <c r="D7" s="84"/>
      <c r="E7" s="85">
        <v>374476</v>
      </c>
      <c r="F7" s="85">
        <v>392772</v>
      </c>
      <c r="G7" s="85">
        <v>598670</v>
      </c>
      <c r="H7" s="85">
        <v>738495</v>
      </c>
      <c r="I7" s="85">
        <v>1247264</v>
      </c>
      <c r="J7" s="85">
        <v>1175744</v>
      </c>
      <c r="K7" s="86">
        <v>918262</v>
      </c>
      <c r="L7" s="86">
        <v>904969</v>
      </c>
      <c r="M7" s="86">
        <v>1205737</v>
      </c>
      <c r="N7" s="86">
        <v>1584789</v>
      </c>
      <c r="O7" s="86">
        <v>1659949</v>
      </c>
      <c r="P7" s="86">
        <v>1299009</v>
      </c>
    </row>
    <row r="8" spans="1:16" ht="13.5" customHeight="1" thickBot="1">
      <c r="A8" s="88" t="s">
        <v>1136</v>
      </c>
      <c r="B8" s="84">
        <v>13110</v>
      </c>
      <c r="C8" s="84"/>
      <c r="D8" s="84"/>
      <c r="E8" s="85">
        <v>678755</v>
      </c>
      <c r="F8" s="85">
        <v>708654</v>
      </c>
      <c r="G8" s="85">
        <v>824875</v>
      </c>
      <c r="H8" s="85">
        <v>872841</v>
      </c>
      <c r="I8" s="85">
        <v>971278</v>
      </c>
      <c r="J8" s="85">
        <v>1193299</v>
      </c>
      <c r="K8" s="89">
        <v>1539138</v>
      </c>
      <c r="L8" s="89">
        <v>1057001</v>
      </c>
      <c r="M8" s="89">
        <v>1128401</v>
      </c>
      <c r="N8" s="89">
        <v>1270159</v>
      </c>
      <c r="O8" s="86">
        <v>1386365</v>
      </c>
      <c r="P8" s="89">
        <v>1301106</v>
      </c>
    </row>
    <row r="9" spans="1:16" ht="13.5" customHeight="1" thickBot="1">
      <c r="A9" s="88" t="s">
        <v>1137</v>
      </c>
      <c r="B9" s="84">
        <v>13310</v>
      </c>
      <c r="C9" s="84"/>
      <c r="D9" s="84"/>
      <c r="E9" s="85">
        <v>266061</v>
      </c>
      <c r="F9" s="85">
        <v>271726</v>
      </c>
      <c r="G9" s="85">
        <v>283380</v>
      </c>
      <c r="H9" s="85">
        <v>291799</v>
      </c>
      <c r="I9" s="85">
        <v>318268</v>
      </c>
      <c r="J9" s="85">
        <v>367244</v>
      </c>
      <c r="K9" s="86">
        <v>430617</v>
      </c>
      <c r="L9" s="86">
        <v>421089</v>
      </c>
      <c r="M9" s="86">
        <v>419798</v>
      </c>
      <c r="N9" s="86">
        <v>465108</v>
      </c>
      <c r="O9" s="86">
        <v>490498</v>
      </c>
      <c r="P9" s="86">
        <v>498867</v>
      </c>
    </row>
    <row r="10" spans="1:16" ht="13.5" customHeight="1" thickBot="1">
      <c r="A10" s="88" t="s">
        <v>1138</v>
      </c>
      <c r="B10" s="84">
        <v>13320</v>
      </c>
      <c r="C10" s="84"/>
      <c r="D10" s="84"/>
      <c r="E10" s="85">
        <v>173315</v>
      </c>
      <c r="F10" s="85">
        <v>174671</v>
      </c>
      <c r="G10" s="85">
        <v>184522</v>
      </c>
      <c r="H10" s="85">
        <v>192886</v>
      </c>
      <c r="I10" s="85">
        <v>221559</v>
      </c>
      <c r="J10" s="85">
        <v>262893</v>
      </c>
      <c r="K10" s="89">
        <v>319098</v>
      </c>
      <c r="L10" s="89">
        <v>339320</v>
      </c>
      <c r="M10" s="89">
        <v>309835</v>
      </c>
      <c r="N10" s="89">
        <v>349301</v>
      </c>
      <c r="O10" s="86">
        <v>375903</v>
      </c>
      <c r="P10" s="89">
        <v>379372</v>
      </c>
    </row>
    <row r="11" spans="1:16" ht="13.5" customHeight="1" thickBot="1">
      <c r="A11" s="83" t="s">
        <v>1139</v>
      </c>
      <c r="B11" s="84">
        <v>16110</v>
      </c>
      <c r="C11" s="84"/>
      <c r="D11" s="84"/>
      <c r="E11" s="85">
        <v>33911</v>
      </c>
      <c r="F11" s="85">
        <v>32649</v>
      </c>
      <c r="G11" s="85">
        <v>30969</v>
      </c>
      <c r="H11" s="85">
        <v>29831</v>
      </c>
      <c r="I11" s="85">
        <v>30250</v>
      </c>
      <c r="J11" s="85">
        <v>29776</v>
      </c>
      <c r="K11" s="89">
        <v>29903</v>
      </c>
      <c r="L11" s="89">
        <v>26586</v>
      </c>
      <c r="M11" s="89">
        <v>24955</v>
      </c>
      <c r="N11" s="89">
        <v>25065</v>
      </c>
      <c r="O11" s="86">
        <v>25030</v>
      </c>
      <c r="P11" s="89">
        <v>24635</v>
      </c>
    </row>
    <row r="12" spans="1:16" ht="21.75" thickBot="1">
      <c r="A12" s="88" t="s">
        <v>1140</v>
      </c>
      <c r="B12" s="84"/>
      <c r="C12" s="90">
        <v>40383</v>
      </c>
      <c r="D12" s="90">
        <v>36928</v>
      </c>
      <c r="E12" s="90">
        <v>33754</v>
      </c>
      <c r="F12" s="90">
        <v>32756</v>
      </c>
      <c r="G12" s="90">
        <v>30724</v>
      </c>
      <c r="H12" s="90">
        <v>29349</v>
      </c>
      <c r="I12" s="90">
        <v>29615</v>
      </c>
      <c r="J12" s="90">
        <v>29256</v>
      </c>
      <c r="K12" s="90">
        <v>29611</v>
      </c>
      <c r="L12" s="90">
        <v>26124</v>
      </c>
      <c r="M12" s="90">
        <v>24584</v>
      </c>
      <c r="N12" s="90">
        <v>24743</v>
      </c>
      <c r="O12" s="90">
        <v>24641</v>
      </c>
      <c r="P12" s="90">
        <v>24268</v>
      </c>
    </row>
    <row r="13" spans="1:16" ht="13.5" thickBot="1">
      <c r="A13" s="91" t="s">
        <v>1141</v>
      </c>
      <c r="B13" s="84"/>
      <c r="C13" s="90">
        <v>26771</v>
      </c>
      <c r="D13" s="90">
        <v>22584</v>
      </c>
      <c r="E13" s="90">
        <v>18032</v>
      </c>
      <c r="F13" s="90">
        <v>17432</v>
      </c>
      <c r="G13" s="90">
        <v>15129</v>
      </c>
      <c r="H13" s="90">
        <v>11236</v>
      </c>
      <c r="I13" s="90">
        <v>8763</v>
      </c>
      <c r="J13" s="90">
        <v>7547</v>
      </c>
      <c r="K13" s="90">
        <v>7448</v>
      </c>
      <c r="L13" s="90">
        <v>7422</v>
      </c>
      <c r="M13" s="90">
        <v>7326</v>
      </c>
      <c r="N13" s="90">
        <v>7286</v>
      </c>
      <c r="O13" s="90">
        <v>7108</v>
      </c>
      <c r="P13" s="90">
        <v>7154</v>
      </c>
    </row>
    <row r="14" spans="1:16" ht="13.5" thickBot="1">
      <c r="A14" s="91" t="s">
        <v>1142</v>
      </c>
      <c r="B14" s="84"/>
      <c r="C14" s="90">
        <v>13612</v>
      </c>
      <c r="D14" s="90">
        <v>14344</v>
      </c>
      <c r="E14" s="90">
        <v>15722</v>
      </c>
      <c r="F14" s="90">
        <v>15324</v>
      </c>
      <c r="G14" s="90">
        <v>15595</v>
      </c>
      <c r="H14" s="90">
        <v>18113</v>
      </c>
      <c r="I14" s="90">
        <v>20852</v>
      </c>
      <c r="J14" s="90">
        <v>21709</v>
      </c>
      <c r="K14" s="90">
        <v>22163</v>
      </c>
      <c r="L14" s="90">
        <v>18702</v>
      </c>
      <c r="M14" s="90">
        <v>17258</v>
      </c>
      <c r="N14" s="90">
        <v>17457</v>
      </c>
      <c r="O14" s="90">
        <v>17533</v>
      </c>
      <c r="P14" s="90">
        <v>17114</v>
      </c>
    </row>
    <row r="15" spans="1:16" ht="21.75" thickBot="1">
      <c r="A15" s="88" t="s">
        <v>1143</v>
      </c>
      <c r="B15" s="84"/>
      <c r="C15" s="90">
        <v>4419</v>
      </c>
      <c r="D15" s="90">
        <v>4671</v>
      </c>
      <c r="E15" s="90">
        <v>5002</v>
      </c>
      <c r="F15" s="90">
        <v>5167</v>
      </c>
      <c r="G15" s="90">
        <v>5837</v>
      </c>
      <c r="H15" s="90">
        <v>6274</v>
      </c>
      <c r="I15" s="90">
        <v>7078</v>
      </c>
      <c r="J15" s="90">
        <v>8512</v>
      </c>
      <c r="K15" s="90">
        <v>10153</v>
      </c>
      <c r="L15" s="90">
        <v>11254</v>
      </c>
      <c r="M15" s="90">
        <v>12335</v>
      </c>
      <c r="N15" s="90">
        <v>13804</v>
      </c>
      <c r="O15" s="90">
        <v>14843</v>
      </c>
      <c r="P15" s="90">
        <v>14938</v>
      </c>
    </row>
    <row r="16" spans="1:16" ht="13.5" thickBot="1">
      <c r="A16" s="91" t="s">
        <v>1144</v>
      </c>
      <c r="B16" s="84"/>
      <c r="C16" s="90">
        <v>4542</v>
      </c>
      <c r="D16" s="90">
        <v>4823</v>
      </c>
      <c r="E16" s="90">
        <v>5431</v>
      </c>
      <c r="F16" s="90">
        <v>5740</v>
      </c>
      <c r="G16" s="90">
        <v>6331</v>
      </c>
      <c r="H16" s="90">
        <v>7693</v>
      </c>
      <c r="I16" s="90">
        <v>9213</v>
      </c>
      <c r="J16" s="90">
        <v>12163</v>
      </c>
      <c r="K16" s="90">
        <v>15119</v>
      </c>
      <c r="L16" s="90">
        <v>16765</v>
      </c>
      <c r="M16" s="90">
        <v>16778</v>
      </c>
      <c r="N16" s="90">
        <v>18978</v>
      </c>
      <c r="O16" s="90">
        <v>21289</v>
      </c>
      <c r="P16" s="90">
        <v>20107</v>
      </c>
    </row>
    <row r="17" spans="1:16" ht="13.5" thickBot="1">
      <c r="A17" s="91" t="s">
        <v>1145</v>
      </c>
      <c r="B17" s="84"/>
      <c r="C17" s="90">
        <v>4176</v>
      </c>
      <c r="D17" s="90">
        <v>4430</v>
      </c>
      <c r="E17" s="90">
        <v>4508</v>
      </c>
      <c r="F17" s="90">
        <v>4513</v>
      </c>
      <c r="G17" s="90">
        <v>5355</v>
      </c>
      <c r="H17" s="90">
        <v>5391</v>
      </c>
      <c r="I17" s="90">
        <v>6180</v>
      </c>
      <c r="J17" s="90">
        <v>7240</v>
      </c>
      <c r="K17" s="90">
        <v>8480</v>
      </c>
      <c r="L17" s="90">
        <v>9066</v>
      </c>
      <c r="M17" s="90">
        <v>10448</v>
      </c>
      <c r="N17" s="90">
        <v>11643</v>
      </c>
      <c r="O17" s="90">
        <v>12231</v>
      </c>
      <c r="P17" s="90">
        <v>12774</v>
      </c>
    </row>
    <row r="18" spans="1:16" ht="21.75" customHeight="1" thickBot="1">
      <c r="A18" s="88" t="s">
        <v>1146</v>
      </c>
      <c r="B18" s="84"/>
      <c r="C18" s="90">
        <v>7250</v>
      </c>
      <c r="D18" s="90">
        <v>7748</v>
      </c>
      <c r="E18" s="90">
        <v>8242</v>
      </c>
      <c r="F18" s="90">
        <v>8579</v>
      </c>
      <c r="G18" s="90">
        <v>9626</v>
      </c>
      <c r="H18" s="90">
        <v>10064</v>
      </c>
      <c r="I18" s="90">
        <v>10597</v>
      </c>
      <c r="J18" s="90">
        <v>12397</v>
      </c>
      <c r="K18" s="90">
        <v>14315</v>
      </c>
      <c r="L18" s="90">
        <v>15778</v>
      </c>
      <c r="M18" s="90">
        <v>17380</v>
      </c>
      <c r="N18" s="90">
        <v>19090</v>
      </c>
      <c r="O18" s="90">
        <v>19974</v>
      </c>
      <c r="P18" s="90">
        <v>20456</v>
      </c>
    </row>
    <row r="19" spans="1:16" ht="13.5" thickBot="1">
      <c r="A19" s="91" t="s">
        <v>1144</v>
      </c>
      <c r="B19" s="84"/>
      <c r="C19" s="90">
        <v>7678</v>
      </c>
      <c r="D19" s="90">
        <v>8270</v>
      </c>
      <c r="E19" s="90">
        <v>9502</v>
      </c>
      <c r="F19" s="90">
        <v>10040</v>
      </c>
      <c r="G19" s="90">
        <v>11204</v>
      </c>
      <c r="H19" s="90">
        <v>13391</v>
      </c>
      <c r="I19" s="90">
        <v>15431</v>
      </c>
      <c r="J19" s="90">
        <v>19853</v>
      </c>
      <c r="K19" s="90">
        <v>23192</v>
      </c>
      <c r="L19" s="90">
        <v>25234</v>
      </c>
      <c r="M19" s="90">
        <v>26273</v>
      </c>
      <c r="N19" s="90">
        <v>28891</v>
      </c>
      <c r="O19" s="90">
        <v>30629</v>
      </c>
      <c r="P19" s="90">
        <v>29943</v>
      </c>
    </row>
    <row r="20" spans="1:16" ht="13.5" thickBot="1">
      <c r="A20" s="91" t="s">
        <v>1145</v>
      </c>
      <c r="B20" s="84"/>
      <c r="C20" s="90">
        <v>6406</v>
      </c>
      <c r="D20" s="90">
        <v>6924</v>
      </c>
      <c r="E20" s="90">
        <v>6794</v>
      </c>
      <c r="F20" s="90">
        <v>6912</v>
      </c>
      <c r="G20" s="90">
        <v>8091</v>
      </c>
      <c r="H20" s="90">
        <v>7995</v>
      </c>
      <c r="I20" s="90">
        <v>8563</v>
      </c>
      <c r="J20" s="90">
        <v>9798</v>
      </c>
      <c r="K20" s="90">
        <v>11324</v>
      </c>
      <c r="L20" s="90">
        <v>12023</v>
      </c>
      <c r="M20" s="90">
        <v>13602</v>
      </c>
      <c r="N20" s="90">
        <v>14996</v>
      </c>
      <c r="O20" s="90">
        <v>15657</v>
      </c>
      <c r="P20" s="90">
        <v>16484</v>
      </c>
    </row>
    <row r="21" spans="1:16" ht="32.25" thickBot="1">
      <c r="A21" s="88" t="s">
        <v>1147</v>
      </c>
      <c r="B21" s="84"/>
      <c r="C21" s="92">
        <v>4.38</v>
      </c>
      <c r="D21" s="92">
        <v>4.66</v>
      </c>
      <c r="E21" s="92">
        <v>4.99</v>
      </c>
      <c r="F21" s="92">
        <v>5.17</v>
      </c>
      <c r="G21" s="92">
        <v>5.74</v>
      </c>
      <c r="H21" s="92">
        <v>6.02</v>
      </c>
      <c r="I21" s="92">
        <v>6.61</v>
      </c>
      <c r="J21" s="92">
        <v>7.38</v>
      </c>
      <c r="K21" s="92">
        <v>8.43</v>
      </c>
      <c r="L21" s="92">
        <v>9.48</v>
      </c>
      <c r="M21" s="414">
        <v>10.76</v>
      </c>
      <c r="N21" s="414">
        <v>11.59</v>
      </c>
      <c r="O21" s="414">
        <v>12.2</v>
      </c>
      <c r="P21" s="414">
        <v>12.45</v>
      </c>
    </row>
    <row r="22" spans="1:16" ht="13.5" thickBot="1">
      <c r="A22" s="91" t="s">
        <v>1144</v>
      </c>
      <c r="B22" s="84"/>
      <c r="C22" s="92">
        <v>4.64</v>
      </c>
      <c r="D22" s="92">
        <v>5.03</v>
      </c>
      <c r="E22" s="92">
        <v>5.82</v>
      </c>
      <c r="F22" s="92">
        <v>6.21</v>
      </c>
      <c r="G22" s="92">
        <v>6.81</v>
      </c>
      <c r="H22" s="92">
        <v>8.28</v>
      </c>
      <c r="I22" s="92">
        <v>9.47</v>
      </c>
      <c r="J22" s="92">
        <v>11.7</v>
      </c>
      <c r="K22" s="92">
        <v>13.71</v>
      </c>
      <c r="L22" s="92">
        <v>15.14</v>
      </c>
      <c r="M22" s="414">
        <v>16.76</v>
      </c>
      <c r="N22" s="414">
        <v>17.37</v>
      </c>
      <c r="O22" s="414">
        <v>18.61</v>
      </c>
      <c r="P22" s="414">
        <v>18.35</v>
      </c>
    </row>
    <row r="23" spans="1:16" ht="13.5" thickBot="1">
      <c r="A23" s="91" t="s">
        <v>1145</v>
      </c>
      <c r="B23" s="84"/>
      <c r="C23" s="92">
        <v>3.87</v>
      </c>
      <c r="D23" s="92">
        <v>4.1</v>
      </c>
      <c r="E23" s="92">
        <v>4.05</v>
      </c>
      <c r="F23" s="92">
        <v>4.05</v>
      </c>
      <c r="G23" s="92">
        <v>4.73</v>
      </c>
      <c r="H23" s="92">
        <v>4.69</v>
      </c>
      <c r="I23" s="92">
        <v>5.38</v>
      </c>
      <c r="J23" s="92">
        <v>5.86</v>
      </c>
      <c r="K23" s="92">
        <v>6.66</v>
      </c>
      <c r="L23" s="92">
        <v>7.23</v>
      </c>
      <c r="M23" s="414">
        <v>8.32</v>
      </c>
      <c r="N23" s="414">
        <v>9.14</v>
      </c>
      <c r="O23" s="414">
        <v>9.58</v>
      </c>
      <c r="P23" s="414">
        <v>10</v>
      </c>
    </row>
    <row r="24" spans="1:16" ht="21.75" thickBot="1">
      <c r="A24" s="88" t="s">
        <v>1148</v>
      </c>
      <c r="B24" s="84"/>
      <c r="C24" s="93">
        <f>SUM(C25:C26)</f>
        <v>292746.21</v>
      </c>
      <c r="D24" s="93">
        <f aca="true" t="shared" si="1" ref="D24:L24">SUM(D25:D26)</f>
        <v>286087.53599999996</v>
      </c>
      <c r="E24" s="93">
        <f t="shared" si="1"/>
        <v>278155.332</v>
      </c>
      <c r="F24" s="93">
        <f t="shared" si="1"/>
        <v>280936.768</v>
      </c>
      <c r="G24" s="93">
        <f t="shared" si="1"/>
        <v>295684.461</v>
      </c>
      <c r="H24" s="93">
        <f t="shared" si="1"/>
        <v>295274.711</v>
      </c>
      <c r="I24" s="93">
        <f t="shared" si="1"/>
        <v>313777.529</v>
      </c>
      <c r="J24" s="93">
        <f t="shared" si="1"/>
        <v>362535.373</v>
      </c>
      <c r="K24" s="93">
        <f t="shared" si="1"/>
        <v>423707.828</v>
      </c>
      <c r="L24" s="93">
        <f t="shared" si="1"/>
        <v>412140.894</v>
      </c>
      <c r="M24" s="93">
        <f>SUM(M25:M26)</f>
        <v>427219.314</v>
      </c>
      <c r="N24" s="93">
        <f>SUM(N25:N26)</f>
        <v>472284.998</v>
      </c>
      <c r="O24" s="93">
        <f>SUM(O25:O26)</f>
        <v>492225.113</v>
      </c>
      <c r="P24" s="93">
        <f>SUM(P25:P26)</f>
        <v>496319.398</v>
      </c>
    </row>
    <row r="25" spans="1:16" ht="13.5" thickBot="1">
      <c r="A25" s="91" t="s">
        <v>1149</v>
      </c>
      <c r="B25" s="84"/>
      <c r="C25" s="93">
        <f>C13*C19/1000</f>
        <v>205547.738</v>
      </c>
      <c r="D25" s="93">
        <f aca="true" t="shared" si="2" ref="D25:L25">D13*D19/1000</f>
        <v>186769.68</v>
      </c>
      <c r="E25" s="93">
        <f t="shared" si="2"/>
        <v>171340.064</v>
      </c>
      <c r="F25" s="93">
        <f t="shared" si="2"/>
        <v>175017.28</v>
      </c>
      <c r="G25" s="93">
        <f t="shared" si="2"/>
        <v>169505.316</v>
      </c>
      <c r="H25" s="93">
        <f t="shared" si="2"/>
        <v>150461.276</v>
      </c>
      <c r="I25" s="93">
        <f t="shared" si="2"/>
        <v>135221.853</v>
      </c>
      <c r="J25" s="93">
        <f t="shared" si="2"/>
        <v>149830.591</v>
      </c>
      <c r="K25" s="93">
        <f t="shared" si="2"/>
        <v>172734.016</v>
      </c>
      <c r="L25" s="93">
        <f t="shared" si="2"/>
        <v>187286.748</v>
      </c>
      <c r="M25" s="93">
        <f aca="true" t="shared" si="3" ref="M25:O26">M13*M19/1000</f>
        <v>192475.998</v>
      </c>
      <c r="N25" s="93">
        <f t="shared" si="3"/>
        <v>210499.826</v>
      </c>
      <c r="O25" s="93">
        <f t="shared" si="3"/>
        <v>217710.932</v>
      </c>
      <c r="P25" s="93">
        <f>P13*P19/1000</f>
        <v>214212.222</v>
      </c>
    </row>
    <row r="26" spans="1:16" ht="13.5" thickBot="1">
      <c r="A26" s="91" t="s">
        <v>1150</v>
      </c>
      <c r="B26" s="84"/>
      <c r="C26" s="93">
        <f>C14*C20/1000</f>
        <v>87198.472</v>
      </c>
      <c r="D26" s="93">
        <f aca="true" t="shared" si="4" ref="D26:L26">D14*D20/1000</f>
        <v>99317.856</v>
      </c>
      <c r="E26" s="93">
        <f t="shared" si="4"/>
        <v>106815.268</v>
      </c>
      <c r="F26" s="93">
        <f t="shared" si="4"/>
        <v>105919.488</v>
      </c>
      <c r="G26" s="93">
        <f t="shared" si="4"/>
        <v>126179.145</v>
      </c>
      <c r="H26" s="93">
        <f t="shared" si="4"/>
        <v>144813.435</v>
      </c>
      <c r="I26" s="93">
        <f t="shared" si="4"/>
        <v>178555.676</v>
      </c>
      <c r="J26" s="93">
        <f t="shared" si="4"/>
        <v>212704.782</v>
      </c>
      <c r="K26" s="93">
        <f t="shared" si="4"/>
        <v>250973.812</v>
      </c>
      <c r="L26" s="93">
        <f t="shared" si="4"/>
        <v>224854.146</v>
      </c>
      <c r="M26" s="93">
        <f t="shared" si="3"/>
        <v>234743.316</v>
      </c>
      <c r="N26" s="93">
        <f t="shared" si="3"/>
        <v>261785.172</v>
      </c>
      <c r="O26" s="93">
        <f t="shared" si="3"/>
        <v>274514.181</v>
      </c>
      <c r="P26" s="93">
        <f>P14*P20/1000</f>
        <v>282107.176</v>
      </c>
    </row>
    <row r="27" spans="1:16" ht="32.25" thickBot="1">
      <c r="A27" s="88" t="s">
        <v>1151</v>
      </c>
      <c r="B27" s="84"/>
      <c r="C27" s="94">
        <f>SUM(C28:C32)</f>
        <v>100.00000000000001</v>
      </c>
      <c r="D27" s="94">
        <f>SUM(D28:D32)</f>
        <v>100.00000000000001</v>
      </c>
      <c r="E27" s="94">
        <f>SUM(E28:E32)</f>
        <v>99.99</v>
      </c>
      <c r="F27" s="94">
        <f aca="true" t="shared" si="5" ref="F27:O27">SUM(F28:F32)</f>
        <v>100</v>
      </c>
      <c r="G27" s="94">
        <f t="shared" si="5"/>
        <v>100</v>
      </c>
      <c r="H27" s="94">
        <f t="shared" si="5"/>
        <v>100</v>
      </c>
      <c r="I27" s="94">
        <f t="shared" si="5"/>
        <v>100</v>
      </c>
      <c r="J27" s="94">
        <f t="shared" si="5"/>
        <v>99.99999999999999</v>
      </c>
      <c r="K27" s="94">
        <f t="shared" si="5"/>
        <v>100</v>
      </c>
      <c r="L27" s="94">
        <f t="shared" si="5"/>
        <v>100</v>
      </c>
      <c r="M27" s="94">
        <f t="shared" si="5"/>
        <v>99.99999999999999</v>
      </c>
      <c r="N27" s="94">
        <f t="shared" si="5"/>
        <v>100.00000000000001</v>
      </c>
      <c r="O27" s="94">
        <f t="shared" si="5"/>
        <v>100</v>
      </c>
      <c r="P27" s="94">
        <v>100</v>
      </c>
    </row>
    <row r="28" spans="1:16" ht="13.5" thickBot="1">
      <c r="A28" s="91" t="s">
        <v>1152</v>
      </c>
      <c r="B28" s="84"/>
      <c r="C28" s="95">
        <v>60.95</v>
      </c>
      <c r="D28" s="95">
        <v>60.27</v>
      </c>
      <c r="E28" s="95">
        <v>60.68</v>
      </c>
      <c r="F28" s="95">
        <v>60.23</v>
      </c>
      <c r="G28" s="95">
        <v>60.63</v>
      </c>
      <c r="H28" s="95">
        <v>62.34</v>
      </c>
      <c r="I28" s="94">
        <v>66.8</v>
      </c>
      <c r="J28" s="95">
        <v>68.66</v>
      </c>
      <c r="K28" s="95">
        <v>70.94</v>
      </c>
      <c r="L28" s="95">
        <v>71.33</v>
      </c>
      <c r="M28" s="95">
        <v>70.98</v>
      </c>
      <c r="N28" s="412">
        <v>72.31</v>
      </c>
      <c r="O28" s="412">
        <v>74.32</v>
      </c>
      <c r="P28" s="412">
        <v>73.01</v>
      </c>
    </row>
    <row r="29" spans="1:16" ht="13.5" thickBot="1">
      <c r="A29" s="91" t="s">
        <v>1153</v>
      </c>
      <c r="B29" s="84"/>
      <c r="C29" s="95">
        <v>3.19</v>
      </c>
      <c r="D29" s="95">
        <v>3.77</v>
      </c>
      <c r="E29" s="95">
        <v>3.51</v>
      </c>
      <c r="F29" s="95">
        <v>4.26</v>
      </c>
      <c r="G29" s="95">
        <v>2.92</v>
      </c>
      <c r="H29" s="94">
        <v>2.3</v>
      </c>
      <c r="I29" s="94">
        <v>2.02</v>
      </c>
      <c r="J29" s="94">
        <v>2.19</v>
      </c>
      <c r="K29" s="94">
        <v>2.3</v>
      </c>
      <c r="L29" s="94">
        <v>3.04</v>
      </c>
      <c r="M29" s="94">
        <v>2.49</v>
      </c>
      <c r="N29" s="413">
        <v>2.54</v>
      </c>
      <c r="O29" s="413">
        <v>2.06</v>
      </c>
      <c r="P29" s="413">
        <v>2.31</v>
      </c>
    </row>
    <row r="30" spans="1:16" ht="21.75" thickBot="1">
      <c r="A30" s="91" t="s">
        <v>0</v>
      </c>
      <c r="B30" s="84"/>
      <c r="C30" s="95">
        <v>27.04</v>
      </c>
      <c r="D30" s="95">
        <v>26.74</v>
      </c>
      <c r="E30" s="95">
        <v>26.13</v>
      </c>
      <c r="F30" s="95">
        <v>26.24</v>
      </c>
      <c r="G30" s="95">
        <v>27.37</v>
      </c>
      <c r="H30" s="95">
        <v>26.26</v>
      </c>
      <c r="I30" s="95">
        <v>22.64</v>
      </c>
      <c r="J30" s="95">
        <v>22.38</v>
      </c>
      <c r="K30" s="95">
        <v>21.84</v>
      </c>
      <c r="L30" s="95">
        <v>20.37</v>
      </c>
      <c r="M30" s="95">
        <v>18.85</v>
      </c>
      <c r="N30" s="412">
        <v>19.09</v>
      </c>
      <c r="O30" s="412">
        <v>18.99</v>
      </c>
      <c r="P30" s="412">
        <v>19.22</v>
      </c>
    </row>
    <row r="31" spans="1:16" ht="13.5" thickBot="1">
      <c r="A31" s="96" t="s">
        <v>1</v>
      </c>
      <c r="B31" s="84"/>
      <c r="C31" s="95">
        <v>7.31</v>
      </c>
      <c r="D31" s="95">
        <v>7.68</v>
      </c>
      <c r="E31" s="95">
        <v>8.08</v>
      </c>
      <c r="F31" s="95">
        <v>7.65</v>
      </c>
      <c r="G31" s="94">
        <v>7.5</v>
      </c>
      <c r="H31" s="94">
        <v>7.78</v>
      </c>
      <c r="I31" s="94">
        <v>7.4</v>
      </c>
      <c r="J31" s="94">
        <v>6.7</v>
      </c>
      <c r="K31" s="94">
        <v>4.87</v>
      </c>
      <c r="L31" s="94">
        <v>5.21</v>
      </c>
      <c r="M31" s="94">
        <v>7.63</v>
      </c>
      <c r="N31" s="413">
        <v>6.01</v>
      </c>
      <c r="O31" s="413">
        <v>4.59</v>
      </c>
      <c r="P31" s="413">
        <v>5.42</v>
      </c>
    </row>
    <row r="32" spans="1:16" ht="13.5" thickBot="1">
      <c r="A32" s="91" t="s">
        <v>2</v>
      </c>
      <c r="B32" s="84"/>
      <c r="C32" s="95">
        <v>1.51</v>
      </c>
      <c r="D32" s="95">
        <v>1.54</v>
      </c>
      <c r="E32" s="95">
        <v>1.59</v>
      </c>
      <c r="F32" s="95">
        <v>1.62</v>
      </c>
      <c r="G32" s="95">
        <v>1.58</v>
      </c>
      <c r="H32" s="95">
        <v>1.32</v>
      </c>
      <c r="I32" s="95">
        <v>1.14</v>
      </c>
      <c r="J32" s="95">
        <v>0.07</v>
      </c>
      <c r="K32" s="95">
        <v>0.05</v>
      </c>
      <c r="L32" s="95">
        <v>0.05</v>
      </c>
      <c r="M32" s="95">
        <v>0.05</v>
      </c>
      <c r="N32" s="412">
        <v>0.05</v>
      </c>
      <c r="O32" s="412">
        <v>0.04</v>
      </c>
      <c r="P32" s="412">
        <v>0.04</v>
      </c>
    </row>
    <row r="35" spans="1:10" ht="15" thickBot="1">
      <c r="A35" s="681" t="s">
        <v>29</v>
      </c>
      <c r="B35" s="681"/>
      <c r="C35" s="681"/>
      <c r="D35" s="681"/>
      <c r="E35" s="681"/>
      <c r="F35" s="681"/>
      <c r="G35" s="681"/>
      <c r="H35" s="681"/>
      <c r="I35" s="681"/>
      <c r="J35" s="681"/>
    </row>
    <row r="36" spans="1:8" ht="13.5" customHeight="1" thickBot="1">
      <c r="A36" s="669" t="s">
        <v>1803</v>
      </c>
      <c r="B36" s="675" t="s">
        <v>1131</v>
      </c>
      <c r="C36" s="675" t="s">
        <v>1555</v>
      </c>
      <c r="D36" s="698" t="s">
        <v>3</v>
      </c>
      <c r="E36" s="699"/>
      <c r="F36" s="699"/>
      <c r="G36" s="699"/>
      <c r="H36" s="700"/>
    </row>
    <row r="37" spans="1:8" ht="13.5" thickBot="1">
      <c r="A37" s="682"/>
      <c r="B37" s="683"/>
      <c r="C37" s="690"/>
      <c r="D37" s="97" t="s">
        <v>4</v>
      </c>
      <c r="E37" s="98" t="s">
        <v>5</v>
      </c>
      <c r="F37" s="98" t="s">
        <v>6</v>
      </c>
      <c r="G37" s="98" t="s">
        <v>7</v>
      </c>
      <c r="H37" s="98" t="s">
        <v>8</v>
      </c>
    </row>
    <row r="38" spans="1:8" ht="13.5" thickBot="1">
      <c r="A38" s="99" t="s">
        <v>1132</v>
      </c>
      <c r="B38" s="100">
        <v>11110</v>
      </c>
      <c r="C38" s="101">
        <v>187</v>
      </c>
      <c r="D38" s="102" t="s">
        <v>9</v>
      </c>
      <c r="E38" s="102" t="s">
        <v>9</v>
      </c>
      <c r="F38" s="101">
        <v>32</v>
      </c>
      <c r="G38" s="101">
        <v>38</v>
      </c>
      <c r="H38" s="103">
        <v>32</v>
      </c>
    </row>
    <row r="39" spans="1:8" ht="13.5" thickBot="1">
      <c r="A39" s="99" t="s">
        <v>10</v>
      </c>
      <c r="B39" s="100">
        <v>12110</v>
      </c>
      <c r="C39" s="101">
        <v>1009778</v>
      </c>
      <c r="D39" s="102" t="s">
        <v>9</v>
      </c>
      <c r="E39" s="102" t="s">
        <v>9</v>
      </c>
      <c r="F39" s="101">
        <v>60288</v>
      </c>
      <c r="G39" s="101">
        <v>113908</v>
      </c>
      <c r="H39" s="103">
        <v>822532</v>
      </c>
    </row>
    <row r="40" spans="1:8" ht="13.5" thickBot="1">
      <c r="A40" s="99" t="s">
        <v>11</v>
      </c>
      <c r="B40" s="104">
        <v>12150</v>
      </c>
      <c r="C40" s="101">
        <v>374476</v>
      </c>
      <c r="D40" s="105" t="s">
        <v>9</v>
      </c>
      <c r="E40" s="105" t="s">
        <v>9</v>
      </c>
      <c r="F40" s="106">
        <v>6244</v>
      </c>
      <c r="G40" s="106">
        <v>37924</v>
      </c>
      <c r="H40" s="106">
        <v>331689</v>
      </c>
    </row>
    <row r="41" spans="1:8" ht="13.5" thickBot="1">
      <c r="A41" s="99" t="s">
        <v>1139</v>
      </c>
      <c r="B41" s="104">
        <v>16110</v>
      </c>
      <c r="C41" s="101">
        <v>33911</v>
      </c>
      <c r="D41" s="105" t="s">
        <v>9</v>
      </c>
      <c r="E41" s="105" t="s">
        <v>9</v>
      </c>
      <c r="F41" s="106">
        <v>912</v>
      </c>
      <c r="G41" s="106">
        <v>4240</v>
      </c>
      <c r="H41" s="106">
        <v>28263</v>
      </c>
    </row>
    <row r="42" spans="1:9" ht="13.5" customHeight="1" thickBot="1">
      <c r="A42" s="669" t="s">
        <v>2135</v>
      </c>
      <c r="B42" s="696" t="s">
        <v>1131</v>
      </c>
      <c r="C42" s="675" t="s">
        <v>1555</v>
      </c>
      <c r="D42" s="704" t="s">
        <v>12</v>
      </c>
      <c r="E42" s="705"/>
      <c r="F42" s="705"/>
      <c r="G42" s="705"/>
      <c r="H42" s="705"/>
      <c r="I42" s="706"/>
    </row>
    <row r="43" spans="1:9" ht="21.75" thickBot="1">
      <c r="A43" s="670"/>
      <c r="B43" s="697"/>
      <c r="C43" s="690"/>
      <c r="D43" s="107" t="s">
        <v>13</v>
      </c>
      <c r="E43" s="107" t="s">
        <v>14</v>
      </c>
      <c r="F43" s="107" t="s">
        <v>15</v>
      </c>
      <c r="G43" s="107" t="s">
        <v>16</v>
      </c>
      <c r="H43" s="107" t="s">
        <v>17</v>
      </c>
      <c r="I43" s="107" t="s">
        <v>18</v>
      </c>
    </row>
    <row r="44" spans="1:9" ht="13.5" thickBot="1">
      <c r="A44" s="108" t="s">
        <v>1132</v>
      </c>
      <c r="B44" s="109">
        <v>11110</v>
      </c>
      <c r="C44" s="109">
        <v>187</v>
      </c>
      <c r="D44" s="109">
        <v>11</v>
      </c>
      <c r="E44" s="109">
        <v>23</v>
      </c>
      <c r="F44" s="109">
        <v>24</v>
      </c>
      <c r="G44" s="109">
        <v>26</v>
      </c>
      <c r="H44" s="109">
        <v>63</v>
      </c>
      <c r="I44" s="109">
        <v>40</v>
      </c>
    </row>
    <row r="45" spans="1:9" ht="13.5" thickBot="1">
      <c r="A45" s="108" t="s">
        <v>19</v>
      </c>
      <c r="B45" s="109">
        <v>13320</v>
      </c>
      <c r="C45" s="109">
        <v>173315</v>
      </c>
      <c r="D45" s="109">
        <v>1041</v>
      </c>
      <c r="E45" s="109">
        <v>11974</v>
      </c>
      <c r="F45" s="109">
        <v>5805</v>
      </c>
      <c r="G45" s="109">
        <v>8578</v>
      </c>
      <c r="H45" s="109">
        <v>59483</v>
      </c>
      <c r="I45" s="109">
        <v>86434</v>
      </c>
    </row>
    <row r="46" spans="1:9" ht="13.5" thickBot="1">
      <c r="A46" s="108" t="s">
        <v>1139</v>
      </c>
      <c r="B46" s="109">
        <v>16110</v>
      </c>
      <c r="C46" s="109">
        <v>33911</v>
      </c>
      <c r="D46" s="109">
        <v>409</v>
      </c>
      <c r="E46" s="109">
        <v>3134</v>
      </c>
      <c r="F46" s="109">
        <v>1095</v>
      </c>
      <c r="G46" s="109">
        <v>2413</v>
      </c>
      <c r="H46" s="109">
        <v>12170</v>
      </c>
      <c r="I46" s="109">
        <v>14690</v>
      </c>
    </row>
    <row r="50" spans="1:10" ht="15" thickBot="1">
      <c r="A50" s="681" t="s">
        <v>30</v>
      </c>
      <c r="B50" s="681"/>
      <c r="C50" s="681"/>
      <c r="D50" s="681"/>
      <c r="E50" s="681"/>
      <c r="F50" s="681"/>
      <c r="G50" s="681"/>
      <c r="H50" s="681"/>
      <c r="I50" s="681"/>
      <c r="J50" s="681"/>
    </row>
    <row r="51" spans="1:8" ht="13.5" customHeight="1" thickBot="1">
      <c r="A51" s="669" t="s">
        <v>1803</v>
      </c>
      <c r="B51" s="675" t="s">
        <v>1131</v>
      </c>
      <c r="C51" s="675" t="s">
        <v>1555</v>
      </c>
      <c r="D51" s="698" t="s">
        <v>3</v>
      </c>
      <c r="E51" s="699"/>
      <c r="F51" s="699"/>
      <c r="G51" s="699"/>
      <c r="H51" s="700"/>
    </row>
    <row r="52" spans="1:8" ht="13.5" thickBot="1">
      <c r="A52" s="670"/>
      <c r="B52" s="690"/>
      <c r="C52" s="690"/>
      <c r="D52" s="110" t="s">
        <v>4</v>
      </c>
      <c r="E52" s="111" t="s">
        <v>5</v>
      </c>
      <c r="F52" s="111" t="s">
        <v>6</v>
      </c>
      <c r="G52" s="111" t="s">
        <v>7</v>
      </c>
      <c r="H52" s="111" t="s">
        <v>8</v>
      </c>
    </row>
    <row r="53" spans="1:8" ht="13.5" thickBot="1">
      <c r="A53" s="99" t="s">
        <v>1132</v>
      </c>
      <c r="B53" s="112">
        <v>11110</v>
      </c>
      <c r="C53" s="109">
        <v>207</v>
      </c>
      <c r="D53" s="109">
        <v>81</v>
      </c>
      <c r="E53" s="109">
        <v>30</v>
      </c>
      <c r="F53" s="109">
        <v>25</v>
      </c>
      <c r="G53" s="109">
        <v>40</v>
      </c>
      <c r="H53" s="109">
        <v>31</v>
      </c>
    </row>
    <row r="54" spans="1:8" ht="13.5" thickBot="1">
      <c r="A54" s="99" t="s">
        <v>10</v>
      </c>
      <c r="B54" s="112">
        <v>12110</v>
      </c>
      <c r="C54" s="109">
        <v>1060022</v>
      </c>
      <c r="D54" s="109">
        <v>5144</v>
      </c>
      <c r="E54" s="109">
        <v>11927</v>
      </c>
      <c r="F54" s="109">
        <v>47291</v>
      </c>
      <c r="G54" s="109">
        <v>138532</v>
      </c>
      <c r="H54" s="109">
        <v>857128</v>
      </c>
    </row>
    <row r="55" spans="1:8" ht="13.5" thickBot="1">
      <c r="A55" s="108" t="s">
        <v>11</v>
      </c>
      <c r="B55" s="112">
        <v>12150</v>
      </c>
      <c r="C55" s="109">
        <v>392772</v>
      </c>
      <c r="D55" s="109">
        <v>-45922</v>
      </c>
      <c r="E55" s="109">
        <v>3045</v>
      </c>
      <c r="F55" s="109">
        <v>-4619</v>
      </c>
      <c r="G55" s="109">
        <v>48365</v>
      </c>
      <c r="H55" s="109">
        <v>391903</v>
      </c>
    </row>
    <row r="56" spans="1:8" ht="13.5" thickBot="1">
      <c r="A56" s="99" t="s">
        <v>1139</v>
      </c>
      <c r="B56" s="112">
        <v>16110</v>
      </c>
      <c r="C56" s="109">
        <v>32649</v>
      </c>
      <c r="D56" s="109">
        <v>260</v>
      </c>
      <c r="E56" s="109">
        <v>411</v>
      </c>
      <c r="F56" s="109">
        <v>775</v>
      </c>
      <c r="G56" s="109">
        <v>4883</v>
      </c>
      <c r="H56" s="109">
        <v>26320</v>
      </c>
    </row>
    <row r="57" spans="1:9" ht="13.5" customHeight="1" thickBot="1">
      <c r="A57" s="669" t="s">
        <v>2135</v>
      </c>
      <c r="B57" s="696" t="s">
        <v>1131</v>
      </c>
      <c r="C57" s="675" t="s">
        <v>1555</v>
      </c>
      <c r="D57" s="698" t="s">
        <v>12</v>
      </c>
      <c r="E57" s="699"/>
      <c r="F57" s="699"/>
      <c r="G57" s="699"/>
      <c r="H57" s="699"/>
      <c r="I57" s="700"/>
    </row>
    <row r="58" spans="1:9" ht="21.75" thickBot="1">
      <c r="A58" s="670"/>
      <c r="B58" s="697"/>
      <c r="C58" s="690"/>
      <c r="D58" s="107" t="s">
        <v>13</v>
      </c>
      <c r="E58" s="107" t="s">
        <v>14</v>
      </c>
      <c r="F58" s="107" t="s">
        <v>15</v>
      </c>
      <c r="G58" s="107" t="s">
        <v>16</v>
      </c>
      <c r="H58" s="107" t="s">
        <v>17</v>
      </c>
      <c r="I58" s="107" t="s">
        <v>18</v>
      </c>
    </row>
    <row r="59" spans="1:9" ht="13.5" thickBot="1">
      <c r="A59" s="99" t="s">
        <v>1132</v>
      </c>
      <c r="B59" s="109">
        <v>11110</v>
      </c>
      <c r="C59" s="109">
        <v>207</v>
      </c>
      <c r="D59" s="109">
        <v>14</v>
      </c>
      <c r="E59" s="109">
        <v>22</v>
      </c>
      <c r="F59" s="109">
        <v>28</v>
      </c>
      <c r="G59" s="109">
        <v>25</v>
      </c>
      <c r="H59" s="109">
        <v>65</v>
      </c>
      <c r="I59" s="109">
        <v>53</v>
      </c>
    </row>
    <row r="60" spans="1:9" ht="13.5" thickBot="1">
      <c r="A60" s="99" t="s">
        <v>19</v>
      </c>
      <c r="B60" s="109">
        <v>13320</v>
      </c>
      <c r="C60" s="109">
        <v>174671</v>
      </c>
      <c r="D60" s="109">
        <v>1663</v>
      </c>
      <c r="E60" s="109">
        <v>11204</v>
      </c>
      <c r="F60" s="109">
        <v>6351</v>
      </c>
      <c r="G60" s="109">
        <v>7339</v>
      </c>
      <c r="H60" s="109">
        <v>61861</v>
      </c>
      <c r="I60" s="109">
        <v>86253</v>
      </c>
    </row>
    <row r="61" spans="1:9" ht="13.5" thickBot="1">
      <c r="A61" s="99" t="s">
        <v>1139</v>
      </c>
      <c r="B61" s="109">
        <v>16110</v>
      </c>
      <c r="C61" s="109">
        <v>32649</v>
      </c>
      <c r="D61" s="109">
        <v>541</v>
      </c>
      <c r="E61" s="109">
        <v>2805</v>
      </c>
      <c r="F61" s="109">
        <v>1088</v>
      </c>
      <c r="G61" s="109">
        <v>2191</v>
      </c>
      <c r="H61" s="109">
        <v>12651</v>
      </c>
      <c r="I61" s="109">
        <v>13373</v>
      </c>
    </row>
    <row r="65" spans="1:10" ht="15" thickBot="1">
      <c r="A65" s="681" t="s">
        <v>31</v>
      </c>
      <c r="B65" s="681"/>
      <c r="C65" s="681"/>
      <c r="D65" s="681"/>
      <c r="E65" s="681"/>
      <c r="F65" s="681"/>
      <c r="G65" s="681"/>
      <c r="H65" s="681"/>
      <c r="I65" s="681"/>
      <c r="J65" s="681"/>
    </row>
    <row r="66" spans="1:8" ht="13.5" customHeight="1" thickBot="1">
      <c r="A66" s="669" t="s">
        <v>1803</v>
      </c>
      <c r="B66" s="675" t="s">
        <v>1131</v>
      </c>
      <c r="C66" s="675" t="s">
        <v>1555</v>
      </c>
      <c r="D66" s="698" t="s">
        <v>3</v>
      </c>
      <c r="E66" s="699"/>
      <c r="F66" s="699"/>
      <c r="G66" s="699"/>
      <c r="H66" s="700"/>
    </row>
    <row r="67" spans="1:8" ht="13.5" thickBot="1">
      <c r="A67" s="670"/>
      <c r="B67" s="690"/>
      <c r="C67" s="690"/>
      <c r="D67" s="110" t="s">
        <v>4</v>
      </c>
      <c r="E67" s="111" t="s">
        <v>5</v>
      </c>
      <c r="F67" s="111" t="s">
        <v>6</v>
      </c>
      <c r="G67" s="111" t="s">
        <v>7</v>
      </c>
      <c r="H67" s="111" t="s">
        <v>8</v>
      </c>
    </row>
    <row r="68" spans="1:8" ht="13.5" thickBot="1">
      <c r="A68" s="99" t="s">
        <v>1132</v>
      </c>
      <c r="B68" s="112">
        <v>11110</v>
      </c>
      <c r="C68" s="109">
        <v>228</v>
      </c>
      <c r="D68" s="109">
        <v>99</v>
      </c>
      <c r="E68" s="109">
        <v>27</v>
      </c>
      <c r="F68" s="109">
        <v>36</v>
      </c>
      <c r="G68" s="109">
        <v>39</v>
      </c>
      <c r="H68" s="109">
        <v>27</v>
      </c>
    </row>
    <row r="69" spans="1:8" ht="13.5" thickBot="1">
      <c r="A69" s="99" t="s">
        <v>10</v>
      </c>
      <c r="B69" s="112">
        <v>12110</v>
      </c>
      <c r="C69" s="109">
        <v>1380566</v>
      </c>
      <c r="D69" s="109">
        <v>11626</v>
      </c>
      <c r="E69" s="109">
        <v>63143</v>
      </c>
      <c r="F69" s="109">
        <v>33213</v>
      </c>
      <c r="G69" s="109">
        <v>219135</v>
      </c>
      <c r="H69" s="109">
        <v>1053449</v>
      </c>
    </row>
    <row r="70" spans="1:8" ht="13.5" thickBot="1">
      <c r="A70" s="99" t="s">
        <v>11</v>
      </c>
      <c r="B70" s="112">
        <v>12150</v>
      </c>
      <c r="C70" s="109">
        <v>598670</v>
      </c>
      <c r="D70" s="109">
        <v>2501</v>
      </c>
      <c r="E70" s="109">
        <v>37970</v>
      </c>
      <c r="F70" s="109">
        <v>9824</v>
      </c>
      <c r="G70" s="109">
        <v>62600</v>
      </c>
      <c r="H70" s="109">
        <v>485775</v>
      </c>
    </row>
    <row r="71" spans="1:8" ht="13.5" thickBot="1">
      <c r="A71" s="99" t="s">
        <v>1139</v>
      </c>
      <c r="B71" s="112">
        <v>16110</v>
      </c>
      <c r="C71" s="109">
        <v>30969</v>
      </c>
      <c r="D71" s="109">
        <v>346</v>
      </c>
      <c r="E71" s="109">
        <v>370</v>
      </c>
      <c r="F71" s="109">
        <v>1078</v>
      </c>
      <c r="G71" s="109">
        <v>4457</v>
      </c>
      <c r="H71" s="109">
        <v>24718</v>
      </c>
    </row>
    <row r="72" spans="1:9" ht="13.5" customHeight="1" thickBot="1">
      <c r="A72" s="669" t="s">
        <v>2135</v>
      </c>
      <c r="B72" s="696" t="s">
        <v>1131</v>
      </c>
      <c r="C72" s="675" t="s">
        <v>1555</v>
      </c>
      <c r="D72" s="698" t="s">
        <v>12</v>
      </c>
      <c r="E72" s="699"/>
      <c r="F72" s="699"/>
      <c r="G72" s="699"/>
      <c r="H72" s="699"/>
      <c r="I72" s="700"/>
    </row>
    <row r="73" spans="1:9" ht="21.75" thickBot="1">
      <c r="A73" s="670"/>
      <c r="B73" s="697"/>
      <c r="C73" s="690"/>
      <c r="D73" s="107" t="s">
        <v>13</v>
      </c>
      <c r="E73" s="107" t="s">
        <v>14</v>
      </c>
      <c r="F73" s="107" t="s">
        <v>15</v>
      </c>
      <c r="G73" s="107" t="s">
        <v>16</v>
      </c>
      <c r="H73" s="107" t="s">
        <v>17</v>
      </c>
      <c r="I73" s="107" t="s">
        <v>18</v>
      </c>
    </row>
    <row r="74" spans="1:9" ht="13.5" thickBot="1">
      <c r="A74" s="99" t="s">
        <v>1132</v>
      </c>
      <c r="B74" s="112">
        <v>11110</v>
      </c>
      <c r="C74" s="109">
        <v>228</v>
      </c>
      <c r="D74" s="109">
        <v>17</v>
      </c>
      <c r="E74" s="109">
        <v>25</v>
      </c>
      <c r="F74" s="109">
        <v>25</v>
      </c>
      <c r="G74" s="109">
        <v>33</v>
      </c>
      <c r="H74" s="109">
        <v>59</v>
      </c>
      <c r="I74" s="109">
        <v>69</v>
      </c>
    </row>
    <row r="75" spans="1:9" ht="13.5" thickBot="1">
      <c r="A75" s="99" t="s">
        <v>19</v>
      </c>
      <c r="B75" s="112">
        <v>13320</v>
      </c>
      <c r="C75" s="109">
        <v>184522</v>
      </c>
      <c r="D75" s="109">
        <v>1848</v>
      </c>
      <c r="E75" s="109">
        <v>11927</v>
      </c>
      <c r="F75" s="109">
        <v>6144</v>
      </c>
      <c r="G75" s="109">
        <v>10777</v>
      </c>
      <c r="H75" s="109">
        <v>60812</v>
      </c>
      <c r="I75" s="109">
        <v>93014</v>
      </c>
    </row>
    <row r="76" spans="1:9" ht="13.5" thickBot="1">
      <c r="A76" s="99" t="s">
        <v>1139</v>
      </c>
      <c r="B76" s="112">
        <v>16110</v>
      </c>
      <c r="C76" s="109">
        <v>30969</v>
      </c>
      <c r="D76" s="109">
        <v>560</v>
      </c>
      <c r="E76" s="109">
        <v>2480</v>
      </c>
      <c r="F76" s="109">
        <v>1109</v>
      </c>
      <c r="G76" s="109">
        <v>2207</v>
      </c>
      <c r="H76" s="109">
        <v>11337</v>
      </c>
      <c r="I76" s="109">
        <v>13276</v>
      </c>
    </row>
    <row r="80" spans="1:10" ht="15" thickBot="1">
      <c r="A80" s="681" t="s">
        <v>32</v>
      </c>
      <c r="B80" s="681"/>
      <c r="C80" s="681"/>
      <c r="D80" s="681"/>
      <c r="E80" s="681"/>
      <c r="F80" s="681"/>
      <c r="G80" s="681"/>
      <c r="H80" s="681"/>
      <c r="I80" s="681"/>
      <c r="J80" s="681"/>
    </row>
    <row r="81" spans="1:9" ht="13.5" customHeight="1" thickBot="1">
      <c r="A81" s="669" t="s">
        <v>1803</v>
      </c>
      <c r="B81" s="675" t="s">
        <v>1131</v>
      </c>
      <c r="C81" s="430" t="s">
        <v>1555</v>
      </c>
      <c r="D81" s="693" t="s">
        <v>3</v>
      </c>
      <c r="E81" s="694"/>
      <c r="F81" s="694"/>
      <c r="G81" s="694"/>
      <c r="H81" s="695"/>
      <c r="I81" s="431"/>
    </row>
    <row r="82" spans="1:9" ht="13.5" thickBot="1">
      <c r="A82" s="670"/>
      <c r="B82" s="690"/>
      <c r="C82" s="432"/>
      <c r="D82" s="433" t="s">
        <v>4</v>
      </c>
      <c r="E82" s="434" t="s">
        <v>5</v>
      </c>
      <c r="F82" s="434" t="s">
        <v>6</v>
      </c>
      <c r="G82" s="434" t="s">
        <v>7</v>
      </c>
      <c r="H82" s="434" t="s">
        <v>8</v>
      </c>
      <c r="I82" s="431"/>
    </row>
    <row r="83" spans="1:9" ht="13.5" thickBot="1">
      <c r="A83" s="99" t="s">
        <v>1132</v>
      </c>
      <c r="B83" s="112">
        <v>11110</v>
      </c>
      <c r="C83" s="435">
        <v>250</v>
      </c>
      <c r="D83" s="435">
        <v>114</v>
      </c>
      <c r="E83" s="435">
        <v>33</v>
      </c>
      <c r="F83" s="435">
        <v>42</v>
      </c>
      <c r="G83" s="435">
        <v>34</v>
      </c>
      <c r="H83" s="435">
        <v>27</v>
      </c>
      <c r="I83" s="431"/>
    </row>
    <row r="84" spans="1:9" ht="13.5" thickBot="1">
      <c r="A84" s="99" t="s">
        <v>10</v>
      </c>
      <c r="B84" s="112">
        <v>12110</v>
      </c>
      <c r="C84" s="435">
        <v>1554536</v>
      </c>
      <c r="D84" s="435">
        <v>17469</v>
      </c>
      <c r="E84" s="435">
        <v>93553</v>
      </c>
      <c r="F84" s="435">
        <v>59035</v>
      </c>
      <c r="G84" s="435">
        <v>158640</v>
      </c>
      <c r="H84" s="435">
        <v>1225839</v>
      </c>
      <c r="I84" s="431"/>
    </row>
    <row r="85" spans="1:9" ht="13.5" thickBot="1">
      <c r="A85" s="99" t="s">
        <v>11</v>
      </c>
      <c r="B85" s="112">
        <v>12150</v>
      </c>
      <c r="C85" s="435">
        <v>738495</v>
      </c>
      <c r="D85" s="435">
        <v>3540</v>
      </c>
      <c r="E85" s="435">
        <v>50066</v>
      </c>
      <c r="F85" s="435">
        <v>19330</v>
      </c>
      <c r="G85" s="435">
        <v>52839</v>
      </c>
      <c r="H85" s="435">
        <v>612720</v>
      </c>
      <c r="I85" s="431"/>
    </row>
    <row r="86" spans="1:9" ht="13.5" thickBot="1">
      <c r="A86" s="99" t="s">
        <v>1139</v>
      </c>
      <c r="B86" s="112">
        <v>16110</v>
      </c>
      <c r="C86" s="435">
        <v>29831</v>
      </c>
      <c r="D86" s="435">
        <v>342</v>
      </c>
      <c r="E86" s="435">
        <v>448</v>
      </c>
      <c r="F86" s="435">
        <v>1315</v>
      </c>
      <c r="G86" s="435">
        <v>3948</v>
      </c>
      <c r="H86" s="435">
        <v>23778</v>
      </c>
      <c r="I86" s="431"/>
    </row>
    <row r="87" spans="1:9" ht="13.5" customHeight="1" thickBot="1">
      <c r="A87" s="669" t="s">
        <v>2135</v>
      </c>
      <c r="B87" s="696" t="s">
        <v>1131</v>
      </c>
      <c r="C87" s="430" t="s">
        <v>1555</v>
      </c>
      <c r="D87" s="709" t="s">
        <v>20</v>
      </c>
      <c r="E87" s="710"/>
      <c r="F87" s="710"/>
      <c r="G87" s="710"/>
      <c r="H87" s="710"/>
      <c r="I87" s="711"/>
    </row>
    <row r="88" spans="1:9" ht="21.75" thickBot="1">
      <c r="A88" s="670"/>
      <c r="B88" s="697"/>
      <c r="C88" s="432"/>
      <c r="D88" s="436" t="s">
        <v>13</v>
      </c>
      <c r="E88" s="436" t="s">
        <v>14</v>
      </c>
      <c r="F88" s="436" t="s">
        <v>15</v>
      </c>
      <c r="G88" s="436" t="s">
        <v>16</v>
      </c>
      <c r="H88" s="436" t="s">
        <v>17</v>
      </c>
      <c r="I88" s="436" t="s">
        <v>18</v>
      </c>
    </row>
    <row r="89" spans="1:9" ht="13.5" thickBot="1">
      <c r="A89" s="99" t="s">
        <v>1132</v>
      </c>
      <c r="B89" s="112">
        <v>11110</v>
      </c>
      <c r="C89" s="435">
        <v>250</v>
      </c>
      <c r="D89" s="435">
        <v>15</v>
      </c>
      <c r="E89" s="435">
        <v>24</v>
      </c>
      <c r="F89" s="435">
        <v>30</v>
      </c>
      <c r="G89" s="435">
        <v>33</v>
      </c>
      <c r="H89" s="435">
        <v>75</v>
      </c>
      <c r="I89" s="435">
        <v>73</v>
      </c>
    </row>
    <row r="90" spans="1:9" ht="13.5" thickBot="1">
      <c r="A90" s="99" t="s">
        <v>19</v>
      </c>
      <c r="B90" s="112">
        <v>13320</v>
      </c>
      <c r="C90" s="435">
        <v>192886</v>
      </c>
      <c r="D90" s="435">
        <v>1458</v>
      </c>
      <c r="E90" s="435">
        <v>10283</v>
      </c>
      <c r="F90" s="435">
        <v>7549</v>
      </c>
      <c r="G90" s="435">
        <v>9216</v>
      </c>
      <c r="H90" s="435">
        <v>59623</v>
      </c>
      <c r="I90" s="435">
        <v>104757</v>
      </c>
    </row>
    <row r="91" spans="1:9" ht="13.5" thickBot="1">
      <c r="A91" s="99" t="s">
        <v>1139</v>
      </c>
      <c r="B91" s="112">
        <v>16110</v>
      </c>
      <c r="C91" s="435">
        <v>29831</v>
      </c>
      <c r="D91" s="435">
        <v>473</v>
      </c>
      <c r="E91" s="435">
        <v>2189</v>
      </c>
      <c r="F91" s="435">
        <v>1262</v>
      </c>
      <c r="G91" s="435">
        <v>2020</v>
      </c>
      <c r="H91" s="435">
        <v>10631</v>
      </c>
      <c r="I91" s="435">
        <v>13256</v>
      </c>
    </row>
    <row r="95" spans="1:10" ht="15" thickBot="1">
      <c r="A95" s="681" t="s">
        <v>1930</v>
      </c>
      <c r="B95" s="681"/>
      <c r="C95" s="681"/>
      <c r="D95" s="681"/>
      <c r="E95" s="681"/>
      <c r="F95" s="681"/>
      <c r="G95" s="681"/>
      <c r="H95" s="681"/>
      <c r="I95" s="681"/>
      <c r="J95" s="681"/>
    </row>
    <row r="96" spans="1:8" ht="13.5" customHeight="1" thickBot="1">
      <c r="A96" s="669" t="s">
        <v>1803</v>
      </c>
      <c r="B96" s="675" t="s">
        <v>1131</v>
      </c>
      <c r="C96" s="675" t="s">
        <v>1555</v>
      </c>
      <c r="D96" s="698" t="s">
        <v>3</v>
      </c>
      <c r="E96" s="699"/>
      <c r="F96" s="699"/>
      <c r="G96" s="699"/>
      <c r="H96" s="700"/>
    </row>
    <row r="97" spans="1:8" ht="13.5" thickBot="1">
      <c r="A97" s="670"/>
      <c r="B97" s="690"/>
      <c r="C97" s="690"/>
      <c r="D97" s="110" t="s">
        <v>4</v>
      </c>
      <c r="E97" s="111" t="s">
        <v>5</v>
      </c>
      <c r="F97" s="111" t="s">
        <v>6</v>
      </c>
      <c r="G97" s="111" t="s">
        <v>7</v>
      </c>
      <c r="H97" s="111" t="s">
        <v>8</v>
      </c>
    </row>
    <row r="98" spans="1:8" ht="13.5" thickBot="1">
      <c r="A98" s="99" t="s">
        <v>1132</v>
      </c>
      <c r="B98" s="112">
        <v>11110</v>
      </c>
      <c r="C98" s="109">
        <v>273</v>
      </c>
      <c r="D98" s="109">
        <v>136</v>
      </c>
      <c r="E98" s="109">
        <v>40</v>
      </c>
      <c r="F98" s="109">
        <v>39</v>
      </c>
      <c r="G98" s="109">
        <v>34</v>
      </c>
      <c r="H98" s="109">
        <v>24</v>
      </c>
    </row>
    <row r="99" spans="1:8" ht="13.5" thickBot="1">
      <c r="A99" s="99" t="s">
        <v>10</v>
      </c>
      <c r="B99" s="112">
        <v>12110</v>
      </c>
      <c r="C99" s="109">
        <v>2216183</v>
      </c>
      <c r="D99" s="109">
        <v>23997</v>
      </c>
      <c r="E99" s="109">
        <v>120179</v>
      </c>
      <c r="F99" s="109">
        <v>61066</v>
      </c>
      <c r="G99" s="109">
        <v>192559</v>
      </c>
      <c r="H99" s="109">
        <v>1818382</v>
      </c>
    </row>
    <row r="100" spans="1:8" ht="13.5" thickBot="1">
      <c r="A100" s="99" t="s">
        <v>11</v>
      </c>
      <c r="B100" s="112">
        <v>12150</v>
      </c>
      <c r="C100" s="109">
        <v>1247264</v>
      </c>
      <c r="D100" s="109">
        <v>4031</v>
      </c>
      <c r="E100" s="109">
        <v>33781</v>
      </c>
      <c r="F100" s="109">
        <v>26332</v>
      </c>
      <c r="G100" s="109">
        <v>69971</v>
      </c>
      <c r="H100" s="109">
        <v>1113149</v>
      </c>
    </row>
    <row r="101" spans="1:8" ht="13.5" thickBot="1">
      <c r="A101" s="99" t="s">
        <v>1139</v>
      </c>
      <c r="B101" s="112">
        <v>16110</v>
      </c>
      <c r="C101" s="109">
        <v>30250</v>
      </c>
      <c r="D101" s="109">
        <v>474</v>
      </c>
      <c r="E101" s="109">
        <v>550</v>
      </c>
      <c r="F101" s="109">
        <v>1189</v>
      </c>
      <c r="G101" s="109">
        <v>3864</v>
      </c>
      <c r="H101" s="109">
        <v>24173</v>
      </c>
    </row>
    <row r="102" spans="1:9" ht="13.5" customHeight="1" thickBot="1">
      <c r="A102" s="669" t="s">
        <v>2135</v>
      </c>
      <c r="B102" s="696" t="s">
        <v>1131</v>
      </c>
      <c r="C102" s="675" t="s">
        <v>1555</v>
      </c>
      <c r="D102" s="704" t="s">
        <v>20</v>
      </c>
      <c r="E102" s="705"/>
      <c r="F102" s="705"/>
      <c r="G102" s="705"/>
      <c r="H102" s="705"/>
      <c r="I102" s="706"/>
    </row>
    <row r="103" spans="1:9" ht="21.75" thickBot="1">
      <c r="A103" s="670"/>
      <c r="B103" s="697"/>
      <c r="C103" s="690"/>
      <c r="D103" s="107" t="s">
        <v>13</v>
      </c>
      <c r="E103" s="107" t="s">
        <v>14</v>
      </c>
      <c r="F103" s="107" t="s">
        <v>15</v>
      </c>
      <c r="G103" s="107" t="s">
        <v>16</v>
      </c>
      <c r="H103" s="107" t="s">
        <v>17</v>
      </c>
      <c r="I103" s="107" t="s">
        <v>18</v>
      </c>
    </row>
    <row r="104" spans="1:9" ht="13.5" thickBot="1">
      <c r="A104" s="99" t="s">
        <v>1132</v>
      </c>
      <c r="B104" s="112">
        <v>11110</v>
      </c>
      <c r="C104" s="109">
        <v>273</v>
      </c>
      <c r="D104" s="109">
        <v>16</v>
      </c>
      <c r="E104" s="109">
        <v>31</v>
      </c>
      <c r="F104" s="109">
        <v>32</v>
      </c>
      <c r="G104" s="109">
        <v>41</v>
      </c>
      <c r="H104" s="109">
        <v>72</v>
      </c>
      <c r="I104" s="109">
        <v>81</v>
      </c>
    </row>
    <row r="105" spans="1:9" ht="13.5" thickBot="1">
      <c r="A105" s="99" t="s">
        <v>19</v>
      </c>
      <c r="B105" s="112">
        <v>13320</v>
      </c>
      <c r="C105" s="109">
        <v>221559</v>
      </c>
      <c r="D105" s="109">
        <v>1725</v>
      </c>
      <c r="E105" s="109">
        <v>11888</v>
      </c>
      <c r="F105" s="109">
        <v>8207</v>
      </c>
      <c r="G105" s="109">
        <v>12346</v>
      </c>
      <c r="H105" s="109">
        <v>64431</v>
      </c>
      <c r="I105" s="109">
        <v>122962</v>
      </c>
    </row>
    <row r="106" spans="1:9" ht="13.5" thickBot="1">
      <c r="A106" s="99" t="s">
        <v>1139</v>
      </c>
      <c r="B106" s="112">
        <v>16110</v>
      </c>
      <c r="C106" s="109">
        <v>30250</v>
      </c>
      <c r="D106" s="109">
        <v>481</v>
      </c>
      <c r="E106" s="109">
        <v>2207</v>
      </c>
      <c r="F106" s="109">
        <v>1275</v>
      </c>
      <c r="G106" s="109">
        <v>1979</v>
      </c>
      <c r="H106" s="109">
        <v>11115</v>
      </c>
      <c r="I106" s="109">
        <v>13193</v>
      </c>
    </row>
    <row r="110" spans="1:10" ht="15" thickBot="1">
      <c r="A110" s="681" t="s">
        <v>1931</v>
      </c>
      <c r="B110" s="681"/>
      <c r="C110" s="681"/>
      <c r="D110" s="681"/>
      <c r="E110" s="681"/>
      <c r="F110" s="681"/>
      <c r="G110" s="681"/>
      <c r="H110" s="681"/>
      <c r="I110" s="681"/>
      <c r="J110" s="681"/>
    </row>
    <row r="111" spans="1:8" ht="13.5" customHeight="1" thickBot="1">
      <c r="A111" s="669" t="s">
        <v>1803</v>
      </c>
      <c r="B111" s="675" t="s">
        <v>1131</v>
      </c>
      <c r="C111" s="675" t="s">
        <v>1555</v>
      </c>
      <c r="D111" s="698" t="s">
        <v>3</v>
      </c>
      <c r="E111" s="699"/>
      <c r="F111" s="699"/>
      <c r="G111" s="699"/>
      <c r="H111" s="700"/>
    </row>
    <row r="112" spans="1:8" ht="13.5" thickBot="1">
      <c r="A112" s="670"/>
      <c r="B112" s="690"/>
      <c r="C112" s="690"/>
      <c r="D112" s="110" t="s">
        <v>4</v>
      </c>
      <c r="E112" s="111" t="s">
        <v>5</v>
      </c>
      <c r="F112" s="111" t="s">
        <v>6</v>
      </c>
      <c r="G112" s="111" t="s">
        <v>7</v>
      </c>
      <c r="H112" s="111" t="s">
        <v>8</v>
      </c>
    </row>
    <row r="113" spans="1:8" ht="13.5" thickBot="1">
      <c r="A113" s="99" t="s">
        <v>1132</v>
      </c>
      <c r="B113" s="112">
        <v>11110</v>
      </c>
      <c r="C113" s="109">
        <v>307</v>
      </c>
      <c r="D113" s="109">
        <v>158</v>
      </c>
      <c r="E113" s="109">
        <v>41</v>
      </c>
      <c r="F113" s="109">
        <v>47</v>
      </c>
      <c r="G113" s="109">
        <v>37</v>
      </c>
      <c r="H113" s="109">
        <v>24</v>
      </c>
    </row>
    <row r="114" spans="1:8" ht="13.5" thickBot="1">
      <c r="A114" s="99" t="s">
        <v>10</v>
      </c>
      <c r="B114" s="112">
        <v>12110</v>
      </c>
      <c r="C114" s="109">
        <v>2334640</v>
      </c>
      <c r="D114" s="109">
        <v>33861</v>
      </c>
      <c r="E114" s="109">
        <v>108799</v>
      </c>
      <c r="F114" s="109">
        <v>92270</v>
      </c>
      <c r="G114" s="109">
        <v>240165</v>
      </c>
      <c r="H114" s="109">
        <v>1859545</v>
      </c>
    </row>
    <row r="115" spans="1:8" ht="13.5" thickBot="1">
      <c r="A115" s="99" t="s">
        <v>11</v>
      </c>
      <c r="B115" s="112">
        <v>12150</v>
      </c>
      <c r="C115" s="109">
        <v>1175744</v>
      </c>
      <c r="D115" s="109">
        <v>8662</v>
      </c>
      <c r="E115" s="109">
        <v>30575</v>
      </c>
      <c r="F115" s="109">
        <v>35840</v>
      </c>
      <c r="G115" s="109">
        <v>99829</v>
      </c>
      <c r="H115" s="109">
        <v>1000838</v>
      </c>
    </row>
    <row r="116" spans="1:8" ht="13.5" thickBot="1">
      <c r="A116" s="99" t="s">
        <v>1139</v>
      </c>
      <c r="B116" s="112">
        <v>16110</v>
      </c>
      <c r="C116" s="109">
        <v>29776</v>
      </c>
      <c r="D116" s="109">
        <v>543</v>
      </c>
      <c r="E116" s="109">
        <v>555</v>
      </c>
      <c r="F116" s="109">
        <v>1488</v>
      </c>
      <c r="G116" s="109">
        <v>4339</v>
      </c>
      <c r="H116" s="109">
        <v>22851</v>
      </c>
    </row>
    <row r="117" spans="1:9" ht="13.5" customHeight="1" thickBot="1">
      <c r="A117" s="669" t="s">
        <v>2135</v>
      </c>
      <c r="B117" s="696" t="s">
        <v>1131</v>
      </c>
      <c r="C117" s="675" t="s">
        <v>1555</v>
      </c>
      <c r="D117" s="704" t="s">
        <v>12</v>
      </c>
      <c r="E117" s="705"/>
      <c r="F117" s="705"/>
      <c r="G117" s="705"/>
      <c r="H117" s="705"/>
      <c r="I117" s="706"/>
    </row>
    <row r="118" spans="1:9" ht="21.75" thickBot="1">
      <c r="A118" s="670"/>
      <c r="B118" s="697"/>
      <c r="C118" s="690"/>
      <c r="D118" s="107" t="s">
        <v>13</v>
      </c>
      <c r="E118" s="107" t="s">
        <v>14</v>
      </c>
      <c r="F118" s="107" t="s">
        <v>15</v>
      </c>
      <c r="G118" s="107" t="s">
        <v>16</v>
      </c>
      <c r="H118" s="107" t="s">
        <v>17</v>
      </c>
      <c r="I118" s="107" t="s">
        <v>18</v>
      </c>
    </row>
    <row r="119" spans="1:9" ht="13.5" thickBot="1">
      <c r="A119" s="99" t="s">
        <v>1132</v>
      </c>
      <c r="B119" s="112">
        <v>11110</v>
      </c>
      <c r="C119" s="109">
        <v>307</v>
      </c>
      <c r="D119" s="109">
        <v>39</v>
      </c>
      <c r="E119" s="109">
        <v>26</v>
      </c>
      <c r="F119" s="109">
        <v>21</v>
      </c>
      <c r="G119" s="109">
        <v>43</v>
      </c>
      <c r="H119" s="109">
        <v>90</v>
      </c>
      <c r="I119" s="109">
        <v>88</v>
      </c>
    </row>
    <row r="120" spans="1:9" ht="13.5" thickBot="1">
      <c r="A120" s="99" t="s">
        <v>19</v>
      </c>
      <c r="B120" s="112">
        <v>13320</v>
      </c>
      <c r="C120" s="109">
        <v>262893</v>
      </c>
      <c r="D120" s="109" t="s">
        <v>9</v>
      </c>
      <c r="E120" s="109">
        <v>15022</v>
      </c>
      <c r="F120" s="109">
        <v>8944</v>
      </c>
      <c r="G120" s="109" t="s">
        <v>9</v>
      </c>
      <c r="H120" s="109">
        <v>70793</v>
      </c>
      <c r="I120" s="109">
        <v>54399</v>
      </c>
    </row>
    <row r="121" spans="1:9" ht="13.5" thickBot="1">
      <c r="A121" s="99" t="s">
        <v>1139</v>
      </c>
      <c r="B121" s="112">
        <v>16110</v>
      </c>
      <c r="C121" s="109">
        <v>29776</v>
      </c>
      <c r="D121" s="109">
        <v>1157</v>
      </c>
      <c r="E121" s="109">
        <v>2082</v>
      </c>
      <c r="F121" s="109">
        <v>1040</v>
      </c>
      <c r="G121" s="109">
        <v>9901</v>
      </c>
      <c r="H121" s="109">
        <v>9957</v>
      </c>
      <c r="I121" s="109">
        <v>5639</v>
      </c>
    </row>
    <row r="125" spans="1:10" ht="15" thickBot="1">
      <c r="A125" s="701" t="s">
        <v>1932</v>
      </c>
      <c r="B125" s="681"/>
      <c r="C125" s="681"/>
      <c r="D125" s="681"/>
      <c r="E125" s="681"/>
      <c r="F125" s="681"/>
      <c r="G125" s="681"/>
      <c r="H125" s="681"/>
      <c r="I125" s="681"/>
      <c r="J125" s="681"/>
    </row>
    <row r="126" spans="1:8" ht="13.5" customHeight="1" thickBot="1">
      <c r="A126" s="669" t="s">
        <v>1803</v>
      </c>
      <c r="B126" s="675" t="s">
        <v>1131</v>
      </c>
      <c r="C126" s="675" t="s">
        <v>1555</v>
      </c>
      <c r="D126" s="698" t="s">
        <v>3</v>
      </c>
      <c r="E126" s="699"/>
      <c r="F126" s="699"/>
      <c r="G126" s="699"/>
      <c r="H126" s="700"/>
    </row>
    <row r="127" spans="1:8" ht="13.5" thickBot="1">
      <c r="A127" s="670"/>
      <c r="B127" s="690"/>
      <c r="C127" s="690"/>
      <c r="D127" s="97" t="s">
        <v>22</v>
      </c>
      <c r="E127" s="98" t="s">
        <v>5</v>
      </c>
      <c r="F127" s="98" t="s">
        <v>6</v>
      </c>
      <c r="G127" s="98" t="s">
        <v>7</v>
      </c>
      <c r="H127" s="98" t="s">
        <v>8</v>
      </c>
    </row>
    <row r="128" spans="1:8" ht="13.5" thickBot="1">
      <c r="A128" s="99" t="s">
        <v>1132</v>
      </c>
      <c r="B128" s="113">
        <v>11110</v>
      </c>
      <c r="C128" s="114">
        <v>353</v>
      </c>
      <c r="D128" s="115">
        <v>199</v>
      </c>
      <c r="E128" s="115">
        <v>44</v>
      </c>
      <c r="F128" s="115">
        <v>49</v>
      </c>
      <c r="G128" s="115">
        <v>37</v>
      </c>
      <c r="H128" s="115">
        <v>24</v>
      </c>
    </row>
    <row r="129" spans="1:8" ht="13.5" thickBot="1">
      <c r="A129" s="99" t="s">
        <v>10</v>
      </c>
      <c r="B129" s="113">
        <v>12110</v>
      </c>
      <c r="C129" s="109">
        <v>2286708</v>
      </c>
      <c r="D129" s="109">
        <v>65191</v>
      </c>
      <c r="E129" s="109">
        <v>45282</v>
      </c>
      <c r="F129" s="109">
        <v>147078</v>
      </c>
      <c r="G129" s="109">
        <v>258376</v>
      </c>
      <c r="H129" s="109">
        <v>1770781</v>
      </c>
    </row>
    <row r="130" spans="1:8" ht="13.5" thickBot="1">
      <c r="A130" s="99" t="s">
        <v>11</v>
      </c>
      <c r="B130" s="113">
        <v>12150</v>
      </c>
      <c r="C130" s="109">
        <v>918262</v>
      </c>
      <c r="D130" s="109">
        <v>-67770</v>
      </c>
      <c r="E130" s="109">
        <v>16317</v>
      </c>
      <c r="F130" s="109">
        <v>68333</v>
      </c>
      <c r="G130" s="109">
        <v>109093</v>
      </c>
      <c r="H130" s="109">
        <v>792289</v>
      </c>
    </row>
    <row r="131" spans="1:8" ht="13.5" thickBot="1">
      <c r="A131" s="99" t="s">
        <v>1139</v>
      </c>
      <c r="B131" s="113">
        <v>16110</v>
      </c>
      <c r="C131" s="109">
        <v>29903</v>
      </c>
      <c r="D131" s="109">
        <v>538</v>
      </c>
      <c r="E131" s="109">
        <v>610</v>
      </c>
      <c r="F131" s="109">
        <v>1548</v>
      </c>
      <c r="G131" s="109">
        <v>4233</v>
      </c>
      <c r="H131" s="109">
        <v>22974</v>
      </c>
    </row>
    <row r="132" spans="1:8" ht="13.5" thickBot="1">
      <c r="A132" s="116" t="s">
        <v>23</v>
      </c>
      <c r="B132" s="117"/>
      <c r="C132" s="109">
        <v>370</v>
      </c>
      <c r="D132" s="109">
        <v>216</v>
      </c>
      <c r="E132" s="707">
        <v>93</v>
      </c>
      <c r="F132" s="708"/>
      <c r="G132" s="109">
        <v>37</v>
      </c>
      <c r="H132" s="109">
        <v>24</v>
      </c>
    </row>
    <row r="133" spans="1:8" ht="13.5" thickBot="1">
      <c r="A133" s="118" t="s">
        <v>24</v>
      </c>
      <c r="B133" s="117"/>
      <c r="C133" s="109">
        <v>29854</v>
      </c>
      <c r="D133" s="109">
        <v>523</v>
      </c>
      <c r="E133" s="702">
        <v>2138</v>
      </c>
      <c r="F133" s="703"/>
      <c r="G133" s="109">
        <v>4224</v>
      </c>
      <c r="H133" s="109">
        <v>22969</v>
      </c>
    </row>
    <row r="134" spans="1:8" ht="13.5" thickBot="1">
      <c r="A134" s="116" t="s">
        <v>25</v>
      </c>
      <c r="B134" s="117"/>
      <c r="C134" s="109">
        <v>2038383</v>
      </c>
      <c r="D134" s="109">
        <v>72444</v>
      </c>
      <c r="E134" s="702">
        <v>125462</v>
      </c>
      <c r="F134" s="703"/>
      <c r="G134" s="109">
        <v>209055</v>
      </c>
      <c r="H134" s="109">
        <v>1631422</v>
      </c>
    </row>
    <row r="135" spans="1:8" ht="21.75" thickBot="1">
      <c r="A135" s="116" t="s">
        <v>26</v>
      </c>
      <c r="B135" s="117"/>
      <c r="C135" s="109">
        <v>4020688</v>
      </c>
      <c r="D135" s="109">
        <v>158289</v>
      </c>
      <c r="E135" s="702">
        <v>216532</v>
      </c>
      <c r="F135" s="703"/>
      <c r="G135" s="109">
        <v>292928</v>
      </c>
      <c r="H135" s="109">
        <v>3352939</v>
      </c>
    </row>
    <row r="136" spans="1:8" ht="21.75" thickBot="1">
      <c r="A136" s="118" t="s">
        <v>27</v>
      </c>
      <c r="B136" s="117"/>
      <c r="C136" s="109">
        <v>3689755</v>
      </c>
      <c r="D136" s="109">
        <v>242279</v>
      </c>
      <c r="E136" s="702">
        <v>192889</v>
      </c>
      <c r="F136" s="703"/>
      <c r="G136" s="109">
        <v>261149</v>
      </c>
      <c r="H136" s="109">
        <v>2993438</v>
      </c>
    </row>
    <row r="137" spans="1:9" ht="13.5" customHeight="1" thickBot="1">
      <c r="A137" s="669" t="s">
        <v>2135</v>
      </c>
      <c r="B137" s="675" t="s">
        <v>21</v>
      </c>
      <c r="C137" s="675" t="s">
        <v>1555</v>
      </c>
      <c r="D137" s="704" t="s">
        <v>12</v>
      </c>
      <c r="E137" s="705"/>
      <c r="F137" s="705"/>
      <c r="G137" s="705"/>
      <c r="H137" s="705"/>
      <c r="I137" s="706"/>
    </row>
    <row r="138" spans="1:9" ht="21.75" thickBot="1">
      <c r="A138" s="670"/>
      <c r="B138" s="676"/>
      <c r="C138" s="690"/>
      <c r="D138" s="107" t="s">
        <v>13</v>
      </c>
      <c r="E138" s="107" t="s">
        <v>14</v>
      </c>
      <c r="F138" s="107" t="s">
        <v>15</v>
      </c>
      <c r="G138" s="107" t="s">
        <v>16</v>
      </c>
      <c r="H138" s="107" t="s">
        <v>17</v>
      </c>
      <c r="I138" s="107" t="s">
        <v>18</v>
      </c>
    </row>
    <row r="139" spans="1:9" ht="13.5" thickBot="1">
      <c r="A139" s="99" t="s">
        <v>28</v>
      </c>
      <c r="B139" s="113">
        <v>11210</v>
      </c>
      <c r="C139" s="119">
        <v>386</v>
      </c>
      <c r="D139" s="119">
        <v>49</v>
      </c>
      <c r="E139" s="119">
        <v>26</v>
      </c>
      <c r="F139" s="119">
        <v>36</v>
      </c>
      <c r="G139" s="119">
        <v>53</v>
      </c>
      <c r="H139" s="119">
        <v>117</v>
      </c>
      <c r="I139" s="119">
        <v>105</v>
      </c>
    </row>
    <row r="140" spans="1:9" ht="13.5" thickBot="1">
      <c r="A140" s="99" t="s">
        <v>19</v>
      </c>
      <c r="B140" s="113">
        <v>13320</v>
      </c>
      <c r="C140" s="109">
        <v>318140</v>
      </c>
      <c r="D140" s="109" t="s">
        <v>9</v>
      </c>
      <c r="E140" s="109">
        <v>15377</v>
      </c>
      <c r="F140" s="109">
        <v>11535</v>
      </c>
      <c r="G140" s="109" t="s">
        <v>9</v>
      </c>
      <c r="H140" s="109">
        <v>91102</v>
      </c>
      <c r="I140" s="109">
        <v>61477</v>
      </c>
    </row>
    <row r="141" spans="1:9" ht="13.5" thickBot="1">
      <c r="A141" s="99" t="s">
        <v>1139</v>
      </c>
      <c r="B141" s="113">
        <v>16110</v>
      </c>
      <c r="C141" s="109">
        <v>29908</v>
      </c>
      <c r="D141" s="109">
        <v>1123</v>
      </c>
      <c r="E141" s="109">
        <v>1762</v>
      </c>
      <c r="F141" s="109">
        <v>1245</v>
      </c>
      <c r="G141" s="109">
        <v>9788</v>
      </c>
      <c r="H141" s="109">
        <v>10267</v>
      </c>
      <c r="I141" s="109">
        <v>5723</v>
      </c>
    </row>
    <row r="144" spans="1:10" ht="15" thickBot="1">
      <c r="A144" s="701" t="s">
        <v>1933</v>
      </c>
      <c r="B144" s="681"/>
      <c r="C144" s="681"/>
      <c r="D144" s="681"/>
      <c r="E144" s="681"/>
      <c r="F144" s="681"/>
      <c r="G144" s="681"/>
      <c r="H144" s="681"/>
      <c r="I144" s="681"/>
      <c r="J144" s="681"/>
    </row>
    <row r="145" spans="1:8" ht="13.5" customHeight="1" thickBot="1">
      <c r="A145" s="669" t="s">
        <v>2135</v>
      </c>
      <c r="B145" s="675" t="s">
        <v>1131</v>
      </c>
      <c r="C145" s="675" t="s">
        <v>1555</v>
      </c>
      <c r="D145" s="698" t="s">
        <v>3</v>
      </c>
      <c r="E145" s="699"/>
      <c r="F145" s="699"/>
      <c r="G145" s="699"/>
      <c r="H145" s="700"/>
    </row>
    <row r="146" spans="1:8" ht="13.5" thickBot="1">
      <c r="A146" s="670"/>
      <c r="B146" s="690"/>
      <c r="C146" s="690"/>
      <c r="D146" s="97" t="s">
        <v>22</v>
      </c>
      <c r="E146" s="98" t="s">
        <v>5</v>
      </c>
      <c r="F146" s="98" t="s">
        <v>6</v>
      </c>
      <c r="G146" s="98" t="s">
        <v>7</v>
      </c>
      <c r="H146" s="98" t="s">
        <v>8</v>
      </c>
    </row>
    <row r="147" spans="1:8" ht="13.5" thickBot="1">
      <c r="A147" s="99" t="s">
        <v>1132</v>
      </c>
      <c r="B147" s="113">
        <v>11110</v>
      </c>
      <c r="C147" s="114">
        <v>373</v>
      </c>
      <c r="D147" s="115">
        <v>230</v>
      </c>
      <c r="E147" s="115">
        <v>47</v>
      </c>
      <c r="F147" s="115">
        <v>44</v>
      </c>
      <c r="G147" s="115">
        <v>34</v>
      </c>
      <c r="H147" s="115">
        <v>18</v>
      </c>
    </row>
    <row r="148" spans="1:8" ht="13.5" thickBot="1">
      <c r="A148" s="99" t="s">
        <v>10</v>
      </c>
      <c r="B148" s="113">
        <v>12110</v>
      </c>
      <c r="C148" s="109">
        <v>1870995</v>
      </c>
      <c r="D148" s="109">
        <v>32727</v>
      </c>
      <c r="E148" s="109">
        <v>62367</v>
      </c>
      <c r="F148" s="109">
        <v>71848</v>
      </c>
      <c r="G148" s="109">
        <v>179807</v>
      </c>
      <c r="H148" s="109">
        <v>1524246</v>
      </c>
    </row>
    <row r="149" spans="1:8" ht="13.5" thickBot="1">
      <c r="A149" s="99" t="s">
        <v>11</v>
      </c>
      <c r="B149" s="113">
        <v>12150</v>
      </c>
      <c r="C149" s="109">
        <v>904969</v>
      </c>
      <c r="D149" s="109">
        <v>9101</v>
      </c>
      <c r="E149" s="109">
        <v>17071</v>
      </c>
      <c r="F149" s="109">
        <v>25557</v>
      </c>
      <c r="G149" s="109">
        <v>78805</v>
      </c>
      <c r="H149" s="109">
        <v>774435</v>
      </c>
    </row>
    <row r="150" spans="1:8" ht="13.5" thickBot="1">
      <c r="A150" s="99" t="s">
        <v>1139</v>
      </c>
      <c r="B150" s="113">
        <v>16110</v>
      </c>
      <c r="C150" s="109">
        <v>26586</v>
      </c>
      <c r="D150" s="109">
        <v>609</v>
      </c>
      <c r="E150" s="109">
        <v>685</v>
      </c>
      <c r="F150" s="109">
        <v>1405</v>
      </c>
      <c r="G150" s="109">
        <v>3997</v>
      </c>
      <c r="H150" s="109">
        <v>19890</v>
      </c>
    </row>
    <row r="151" spans="1:8" ht="13.5" thickBot="1">
      <c r="A151" s="116" t="s">
        <v>23</v>
      </c>
      <c r="B151" s="117"/>
      <c r="C151" s="109">
        <v>410</v>
      </c>
      <c r="D151" s="109">
        <v>270</v>
      </c>
      <c r="E151" s="707">
        <v>90</v>
      </c>
      <c r="F151" s="708"/>
      <c r="G151" s="120">
        <v>32</v>
      </c>
      <c r="H151" s="120">
        <v>18</v>
      </c>
    </row>
    <row r="152" spans="1:8" ht="13.5" thickBot="1">
      <c r="A152" s="118" t="s">
        <v>24</v>
      </c>
      <c r="B152" s="117"/>
      <c r="C152" s="109">
        <v>26384</v>
      </c>
      <c r="D152" s="109">
        <v>611</v>
      </c>
      <c r="E152" s="702">
        <v>2085</v>
      </c>
      <c r="F152" s="703"/>
      <c r="G152" s="109">
        <v>3808</v>
      </c>
      <c r="H152" s="109">
        <v>19880</v>
      </c>
    </row>
    <row r="153" spans="1:8" ht="13.5" thickBot="1">
      <c r="A153" s="116" t="s">
        <v>25</v>
      </c>
      <c r="B153" s="117"/>
      <c r="C153" s="109">
        <v>2035011</v>
      </c>
      <c r="D153" s="109">
        <v>82457</v>
      </c>
      <c r="E153" s="702">
        <v>140295</v>
      </c>
      <c r="F153" s="703"/>
      <c r="G153" s="109">
        <v>211572</v>
      </c>
      <c r="H153" s="109">
        <v>1600687</v>
      </c>
    </row>
    <row r="154" spans="1:8" ht="21.75" thickBot="1">
      <c r="A154" s="116" t="s">
        <v>26</v>
      </c>
      <c r="B154" s="117"/>
      <c r="C154" s="109">
        <v>2122084</v>
      </c>
      <c r="D154" s="109">
        <v>61981</v>
      </c>
      <c r="E154" s="702">
        <v>161087</v>
      </c>
      <c r="F154" s="703"/>
      <c r="G154" s="109">
        <v>205764</v>
      </c>
      <c r="H154" s="109">
        <v>1693252</v>
      </c>
    </row>
    <row r="155" spans="1:8" ht="21.75" thickBot="1">
      <c r="A155" s="118" t="s">
        <v>27</v>
      </c>
      <c r="B155" s="512"/>
      <c r="C155" s="109">
        <v>1902276</v>
      </c>
      <c r="D155" s="109">
        <v>58623</v>
      </c>
      <c r="E155" s="702">
        <v>167948</v>
      </c>
      <c r="F155" s="703"/>
      <c r="G155" s="109">
        <v>189948</v>
      </c>
      <c r="H155" s="109">
        <v>1485757</v>
      </c>
    </row>
    <row r="156" spans="1:9" ht="13.5" customHeight="1" thickBot="1">
      <c r="A156" s="669" t="s">
        <v>2135</v>
      </c>
      <c r="B156" s="675" t="s">
        <v>21</v>
      </c>
      <c r="C156" s="675" t="s">
        <v>1555</v>
      </c>
      <c r="D156" s="704" t="s">
        <v>12</v>
      </c>
      <c r="E156" s="705"/>
      <c r="F156" s="705"/>
      <c r="G156" s="705"/>
      <c r="H156" s="705"/>
      <c r="I156" s="706"/>
    </row>
    <row r="157" spans="1:9" ht="21.75" thickBot="1">
      <c r="A157" s="670"/>
      <c r="B157" s="676"/>
      <c r="C157" s="690"/>
      <c r="D157" s="107" t="s">
        <v>13</v>
      </c>
      <c r="E157" s="107" t="s">
        <v>14</v>
      </c>
      <c r="F157" s="107" t="s">
        <v>15</v>
      </c>
      <c r="G157" s="107" t="s">
        <v>16</v>
      </c>
      <c r="H157" s="107" t="s">
        <v>17</v>
      </c>
      <c r="I157" s="107" t="s">
        <v>18</v>
      </c>
    </row>
    <row r="158" spans="1:9" ht="13.5" thickBot="1">
      <c r="A158" s="99" t="s">
        <v>28</v>
      </c>
      <c r="B158" s="113">
        <v>11210</v>
      </c>
      <c r="C158" s="119">
        <v>391</v>
      </c>
      <c r="D158" s="119">
        <v>46</v>
      </c>
      <c r="E158" s="119">
        <v>28</v>
      </c>
      <c r="F158" s="119">
        <v>37</v>
      </c>
      <c r="G158" s="119">
        <v>60</v>
      </c>
      <c r="H158" s="119">
        <v>120</v>
      </c>
      <c r="I158" s="119">
        <v>100</v>
      </c>
    </row>
    <row r="159" spans="1:9" ht="13.5" thickBot="1">
      <c r="A159" s="99" t="s">
        <v>19</v>
      </c>
      <c r="B159" s="113">
        <v>13320</v>
      </c>
      <c r="C159" s="109">
        <v>337950</v>
      </c>
      <c r="D159" s="109" t="s">
        <v>9</v>
      </c>
      <c r="E159" s="109">
        <v>7010</v>
      </c>
      <c r="F159" s="109">
        <v>9216</v>
      </c>
      <c r="G159" s="109" t="s">
        <v>9</v>
      </c>
      <c r="H159" s="109">
        <v>94026</v>
      </c>
      <c r="I159" s="109">
        <v>49422</v>
      </c>
    </row>
    <row r="160" spans="1:9" ht="13.5" thickBot="1">
      <c r="A160" s="99" t="s">
        <v>1139</v>
      </c>
      <c r="B160" s="113">
        <v>16110</v>
      </c>
      <c r="C160" s="109">
        <v>26429</v>
      </c>
      <c r="D160" s="109">
        <v>1256</v>
      </c>
      <c r="E160" s="109">
        <v>873</v>
      </c>
      <c r="F160" s="109">
        <v>935</v>
      </c>
      <c r="G160" s="109">
        <v>9490</v>
      </c>
      <c r="H160" s="109">
        <v>9695</v>
      </c>
      <c r="I160" s="109">
        <v>4180</v>
      </c>
    </row>
    <row r="163" spans="1:18" ht="15.75" customHeight="1" thickBot="1">
      <c r="A163" s="701" t="s">
        <v>1121</v>
      </c>
      <c r="B163" s="681"/>
      <c r="C163" s="681"/>
      <c r="D163" s="681"/>
      <c r="E163" s="681"/>
      <c r="F163" s="681"/>
      <c r="G163" s="681"/>
      <c r="H163" s="681"/>
      <c r="I163" s="681"/>
      <c r="J163" s="681"/>
      <c r="K163" s="415"/>
      <c r="L163" s="415"/>
      <c r="M163" s="415"/>
      <c r="N163" s="415"/>
      <c r="O163" s="415"/>
      <c r="P163" s="415"/>
      <c r="Q163" s="415"/>
      <c r="R163"/>
    </row>
    <row r="164" spans="1:8" ht="13.5" customHeight="1" thickBot="1">
      <c r="A164" s="669" t="s">
        <v>2135</v>
      </c>
      <c r="B164" s="675" t="s">
        <v>21</v>
      </c>
      <c r="C164" s="679" t="s">
        <v>1555</v>
      </c>
      <c r="D164" s="663" t="s">
        <v>1122</v>
      </c>
      <c r="E164" s="664"/>
      <c r="F164" s="664"/>
      <c r="G164" s="664"/>
      <c r="H164" s="665"/>
    </row>
    <row r="165" spans="1:8" ht="13.5" thickBot="1">
      <c r="A165" s="670"/>
      <c r="B165" s="676"/>
      <c r="C165" s="680"/>
      <c r="D165" s="422" t="s">
        <v>22</v>
      </c>
      <c r="E165" s="423" t="s">
        <v>5</v>
      </c>
      <c r="F165" s="423" t="s">
        <v>6</v>
      </c>
      <c r="G165" s="423" t="s">
        <v>7</v>
      </c>
      <c r="H165" s="423" t="s">
        <v>8</v>
      </c>
    </row>
    <row r="166" spans="1:8" ht="13.5" thickBot="1">
      <c r="A166" s="424" t="s">
        <v>1132</v>
      </c>
      <c r="B166" s="425">
        <v>11110</v>
      </c>
      <c r="C166" s="426">
        <v>378</v>
      </c>
      <c r="D166" s="427">
        <v>241</v>
      </c>
      <c r="E166" s="427">
        <v>47</v>
      </c>
      <c r="F166" s="427">
        <v>44</v>
      </c>
      <c r="G166" s="427">
        <v>28</v>
      </c>
      <c r="H166" s="427">
        <v>18</v>
      </c>
    </row>
    <row r="167" spans="1:8" ht="13.5" thickBot="1">
      <c r="A167" s="424" t="s">
        <v>10</v>
      </c>
      <c r="B167" s="425">
        <v>12110</v>
      </c>
      <c r="C167" s="426">
        <v>2224573</v>
      </c>
      <c r="D167" s="427">
        <v>58268</v>
      </c>
      <c r="E167" s="427">
        <v>64412</v>
      </c>
      <c r="F167" s="427">
        <v>81155</v>
      </c>
      <c r="G167" s="427">
        <v>130089</v>
      </c>
      <c r="H167" s="427">
        <v>1890649</v>
      </c>
    </row>
    <row r="168" spans="1:8" ht="13.5" thickBot="1">
      <c r="A168" s="424" t="s">
        <v>11</v>
      </c>
      <c r="B168" s="425">
        <v>12150</v>
      </c>
      <c r="C168" s="426">
        <v>1205737</v>
      </c>
      <c r="D168" s="427">
        <v>-4142</v>
      </c>
      <c r="E168" s="427">
        <v>17235</v>
      </c>
      <c r="F168" s="427">
        <v>25270</v>
      </c>
      <c r="G168" s="427">
        <v>57369</v>
      </c>
      <c r="H168" s="427">
        <v>1110005</v>
      </c>
    </row>
    <row r="169" spans="1:8" ht="13.5" thickBot="1">
      <c r="A169" s="424" t="s">
        <v>1139</v>
      </c>
      <c r="B169" s="425">
        <v>16110</v>
      </c>
      <c r="C169" s="426">
        <v>24955</v>
      </c>
      <c r="D169" s="427">
        <v>579</v>
      </c>
      <c r="E169" s="427">
        <v>683</v>
      </c>
      <c r="F169" s="427">
        <v>1345</v>
      </c>
      <c r="G169" s="427">
        <v>2919</v>
      </c>
      <c r="H169" s="427">
        <v>19429</v>
      </c>
    </row>
    <row r="170" spans="1:8" ht="13.5" thickBot="1">
      <c r="A170" s="116" t="s">
        <v>23</v>
      </c>
      <c r="B170" s="439"/>
      <c r="C170" s="426">
        <v>403</v>
      </c>
      <c r="D170" s="427">
        <v>269</v>
      </c>
      <c r="E170" s="677">
        <v>90</v>
      </c>
      <c r="F170" s="678"/>
      <c r="G170" s="427">
        <v>26</v>
      </c>
      <c r="H170" s="427">
        <v>18</v>
      </c>
    </row>
    <row r="171" spans="1:8" ht="13.5" thickBot="1">
      <c r="A171" s="118" t="s">
        <v>24</v>
      </c>
      <c r="B171" s="439"/>
      <c r="C171" s="426">
        <v>24788</v>
      </c>
      <c r="D171" s="427">
        <v>571</v>
      </c>
      <c r="E171" s="677">
        <v>1998</v>
      </c>
      <c r="F171" s="678"/>
      <c r="G171" s="427">
        <v>2794</v>
      </c>
      <c r="H171" s="427">
        <v>19425</v>
      </c>
    </row>
    <row r="172" spans="1:8" ht="13.5" thickBot="1">
      <c r="A172" s="116" t="s">
        <v>25</v>
      </c>
      <c r="B172" s="439"/>
      <c r="C172" s="426">
        <v>1994129</v>
      </c>
      <c r="D172" s="427">
        <v>92465</v>
      </c>
      <c r="E172" s="677">
        <v>148097</v>
      </c>
      <c r="F172" s="678"/>
      <c r="G172" s="427">
        <v>164422</v>
      </c>
      <c r="H172" s="427">
        <v>1589145</v>
      </c>
    </row>
    <row r="173" spans="1:8" ht="21.75" thickBot="1">
      <c r="A173" s="116" t="s">
        <v>26</v>
      </c>
      <c r="B173" s="439"/>
      <c r="C173" s="426">
        <v>2502713</v>
      </c>
      <c r="D173" s="427">
        <v>73282</v>
      </c>
      <c r="E173" s="677">
        <v>179099</v>
      </c>
      <c r="F173" s="678"/>
      <c r="G173" s="427">
        <v>143287</v>
      </c>
      <c r="H173" s="427">
        <v>2107045</v>
      </c>
    </row>
    <row r="174" spans="1:8" ht="21.75" thickBot="1">
      <c r="A174" s="118" t="s">
        <v>27</v>
      </c>
      <c r="B174" s="512"/>
      <c r="C174" s="426">
        <v>2035587</v>
      </c>
      <c r="D174" s="427">
        <v>116389</v>
      </c>
      <c r="E174" s="677">
        <v>182168</v>
      </c>
      <c r="F174" s="678"/>
      <c r="G174" s="427">
        <v>140330</v>
      </c>
      <c r="H174" s="427">
        <v>1596700</v>
      </c>
    </row>
    <row r="175" spans="1:9" ht="13.5" customHeight="1" thickBot="1">
      <c r="A175" s="669" t="s">
        <v>2135</v>
      </c>
      <c r="B175" s="675" t="s">
        <v>21</v>
      </c>
      <c r="C175" s="671" t="s">
        <v>1555</v>
      </c>
      <c r="D175" s="666" t="s">
        <v>12</v>
      </c>
      <c r="E175" s="667"/>
      <c r="F175" s="667"/>
      <c r="G175" s="667"/>
      <c r="H175" s="667"/>
      <c r="I175" s="668"/>
    </row>
    <row r="176" spans="1:9" ht="21.75" thickBot="1">
      <c r="A176" s="670"/>
      <c r="B176" s="676"/>
      <c r="C176" s="672"/>
      <c r="D176" s="421" t="s">
        <v>13</v>
      </c>
      <c r="E176" s="421" t="s">
        <v>14</v>
      </c>
      <c r="F176" s="421" t="s">
        <v>15</v>
      </c>
      <c r="G176" s="421" t="s">
        <v>16</v>
      </c>
      <c r="H176" s="421" t="s">
        <v>17</v>
      </c>
      <c r="I176" s="421" t="s">
        <v>1120</v>
      </c>
    </row>
    <row r="177" spans="1:9" ht="13.5" thickBot="1">
      <c r="A177" s="416" t="s">
        <v>28</v>
      </c>
      <c r="B177" s="417">
        <v>11210</v>
      </c>
      <c r="C177" s="418">
        <v>391</v>
      </c>
      <c r="D177" s="418">
        <v>52</v>
      </c>
      <c r="E177" s="418">
        <v>27</v>
      </c>
      <c r="F177" s="418">
        <v>37</v>
      </c>
      <c r="G177" s="418">
        <v>72</v>
      </c>
      <c r="H177" s="418">
        <v>102</v>
      </c>
      <c r="I177" s="418">
        <v>101</v>
      </c>
    </row>
    <row r="178" spans="1:9" ht="13.5" thickBot="1">
      <c r="A178" s="419" t="s">
        <v>19</v>
      </c>
      <c r="B178" s="420">
        <v>13320</v>
      </c>
      <c r="C178" s="418">
        <v>309751</v>
      </c>
      <c r="D178" s="418">
        <v>9275</v>
      </c>
      <c r="E178" s="418" t="s">
        <v>9</v>
      </c>
      <c r="F178" s="418">
        <v>9345</v>
      </c>
      <c r="G178" s="418" t="s">
        <v>9</v>
      </c>
      <c r="H178" s="418">
        <v>96157</v>
      </c>
      <c r="I178" s="418">
        <v>56309</v>
      </c>
    </row>
    <row r="179" spans="1:9" ht="13.5" thickBot="1">
      <c r="A179" s="419" t="s">
        <v>1139</v>
      </c>
      <c r="B179" s="420">
        <v>16110</v>
      </c>
      <c r="C179" s="418">
        <v>24894</v>
      </c>
      <c r="D179" s="418">
        <v>1214</v>
      </c>
      <c r="E179" s="418">
        <v>672</v>
      </c>
      <c r="F179" s="418">
        <v>904</v>
      </c>
      <c r="G179" s="418">
        <v>9102</v>
      </c>
      <c r="H179" s="418">
        <v>8859</v>
      </c>
      <c r="I179" s="418">
        <v>4143</v>
      </c>
    </row>
    <row r="182" spans="1:10" ht="15" thickBot="1">
      <c r="A182" s="701" t="s">
        <v>1915</v>
      </c>
      <c r="B182" s="681"/>
      <c r="C182" s="681"/>
      <c r="D182" s="681"/>
      <c r="E182" s="681"/>
      <c r="F182" s="681"/>
      <c r="G182" s="681"/>
      <c r="H182" s="681"/>
      <c r="I182" s="681"/>
      <c r="J182" s="681"/>
    </row>
    <row r="183" spans="1:8" ht="13.5" customHeight="1" thickBot="1">
      <c r="A183" s="673" t="s">
        <v>1803</v>
      </c>
      <c r="B183" s="675" t="s">
        <v>21</v>
      </c>
      <c r="C183" s="679" t="s">
        <v>1555</v>
      </c>
      <c r="D183" s="663" t="s">
        <v>1122</v>
      </c>
      <c r="E183" s="664"/>
      <c r="F183" s="664"/>
      <c r="G183" s="664"/>
      <c r="H183" s="665"/>
    </row>
    <row r="184" spans="1:8" ht="13.5" thickBot="1">
      <c r="A184" s="674"/>
      <c r="B184" s="676"/>
      <c r="C184" s="680"/>
      <c r="D184" s="422" t="s">
        <v>22</v>
      </c>
      <c r="E184" s="423" t="s">
        <v>5</v>
      </c>
      <c r="F184" s="423" t="s">
        <v>6</v>
      </c>
      <c r="G184" s="423" t="s">
        <v>7</v>
      </c>
      <c r="H184" s="423" t="s">
        <v>8</v>
      </c>
    </row>
    <row r="185" spans="1:8" ht="13.5" thickBot="1">
      <c r="A185" s="424" t="s">
        <v>1132</v>
      </c>
      <c r="B185" s="425">
        <v>11110</v>
      </c>
      <c r="C185" s="426">
        <v>379</v>
      </c>
      <c r="D185" s="427">
        <v>245</v>
      </c>
      <c r="E185" s="427">
        <v>48</v>
      </c>
      <c r="F185" s="427">
        <v>40</v>
      </c>
      <c r="G185" s="427">
        <v>29</v>
      </c>
      <c r="H185" s="427">
        <v>17</v>
      </c>
    </row>
    <row r="186" spans="1:8" ht="13.5" thickBot="1">
      <c r="A186" s="424" t="s">
        <v>10</v>
      </c>
      <c r="B186" s="425">
        <v>12110</v>
      </c>
      <c r="C186" s="426">
        <v>2764611</v>
      </c>
      <c r="D186" s="427">
        <v>35787</v>
      </c>
      <c r="E186" s="427">
        <v>222365</v>
      </c>
      <c r="F186" s="427">
        <v>86489</v>
      </c>
      <c r="G186" s="427">
        <v>176033</v>
      </c>
      <c r="H186" s="427">
        <v>2243937</v>
      </c>
    </row>
    <row r="187" spans="1:8" ht="13.5" thickBot="1">
      <c r="A187" s="424" t="s">
        <v>11</v>
      </c>
      <c r="B187" s="425">
        <v>12150</v>
      </c>
      <c r="C187" s="426">
        <v>1584789</v>
      </c>
      <c r="D187" s="427" t="s">
        <v>9</v>
      </c>
      <c r="E187" s="427" t="s">
        <v>9</v>
      </c>
      <c r="F187" s="427">
        <v>28887</v>
      </c>
      <c r="G187" s="427">
        <v>68591</v>
      </c>
      <c r="H187" s="427">
        <v>1341689</v>
      </c>
    </row>
    <row r="188" spans="1:8" ht="13.5" thickBot="1">
      <c r="A188" s="424" t="s">
        <v>1139</v>
      </c>
      <c r="B188" s="425">
        <v>16110</v>
      </c>
      <c r="C188" s="426">
        <v>25065</v>
      </c>
      <c r="D188" s="427">
        <v>575</v>
      </c>
      <c r="E188" s="427">
        <v>694</v>
      </c>
      <c r="F188" s="427">
        <v>1165</v>
      </c>
      <c r="G188" s="427">
        <v>3358</v>
      </c>
      <c r="H188" s="427">
        <v>19273</v>
      </c>
    </row>
    <row r="189" spans="1:8" ht="13.5" thickBot="1">
      <c r="A189" s="116" t="s">
        <v>23</v>
      </c>
      <c r="B189" s="439"/>
      <c r="C189" s="426">
        <v>407</v>
      </c>
      <c r="D189" s="427">
        <v>276</v>
      </c>
      <c r="E189" s="677">
        <v>86</v>
      </c>
      <c r="F189" s="678"/>
      <c r="G189" s="427">
        <v>28</v>
      </c>
      <c r="H189" s="427">
        <v>17</v>
      </c>
    </row>
    <row r="190" spans="1:8" ht="13.5" thickBot="1">
      <c r="A190" s="118" t="s">
        <v>24</v>
      </c>
      <c r="B190" s="439"/>
      <c r="C190" s="426">
        <v>24932</v>
      </c>
      <c r="D190" s="427">
        <v>573</v>
      </c>
      <c r="E190" s="677">
        <v>1818</v>
      </c>
      <c r="F190" s="678"/>
      <c r="G190" s="427">
        <v>3275</v>
      </c>
      <c r="H190" s="427">
        <v>19266</v>
      </c>
    </row>
    <row r="191" spans="1:8" ht="13.5" thickBot="1">
      <c r="A191" s="116" t="s">
        <v>25</v>
      </c>
      <c r="B191" s="439"/>
      <c r="C191" s="426">
        <v>2042989</v>
      </c>
      <c r="D191" s="427">
        <v>85815</v>
      </c>
      <c r="E191" s="677">
        <v>120600</v>
      </c>
      <c r="F191" s="678"/>
      <c r="G191" s="427">
        <v>220051</v>
      </c>
      <c r="H191" s="427">
        <v>1616523</v>
      </c>
    </row>
    <row r="192" spans="1:8" ht="21.75" thickBot="1">
      <c r="A192" s="116" t="s">
        <v>26</v>
      </c>
      <c r="B192" s="439"/>
      <c r="C192" s="426">
        <v>3108505</v>
      </c>
      <c r="D192" s="427">
        <v>58987</v>
      </c>
      <c r="E192" s="677">
        <v>392885</v>
      </c>
      <c r="F192" s="678"/>
      <c r="G192" s="427">
        <v>190909</v>
      </c>
      <c r="H192" s="427">
        <v>2465724</v>
      </c>
    </row>
    <row r="193" spans="1:8" ht="21.75" thickBot="1">
      <c r="A193" s="118" t="s">
        <v>27</v>
      </c>
      <c r="B193" s="512"/>
      <c r="C193" s="426">
        <v>2316493</v>
      </c>
      <c r="D193" s="427">
        <v>84655</v>
      </c>
      <c r="E193" s="677">
        <v>275218</v>
      </c>
      <c r="F193" s="678"/>
      <c r="G193" s="427">
        <v>192352</v>
      </c>
      <c r="H193" s="427">
        <v>1764268</v>
      </c>
    </row>
    <row r="194" spans="1:9" ht="13.5" customHeight="1" thickBot="1">
      <c r="A194" s="669" t="s">
        <v>1803</v>
      </c>
      <c r="B194" s="671" t="s">
        <v>21</v>
      </c>
      <c r="C194" s="671" t="s">
        <v>1555</v>
      </c>
      <c r="D194" s="666" t="s">
        <v>12</v>
      </c>
      <c r="E194" s="667"/>
      <c r="F194" s="667"/>
      <c r="G194" s="667"/>
      <c r="H194" s="667"/>
      <c r="I194" s="668"/>
    </row>
    <row r="195" spans="1:9" ht="21.75" thickBot="1">
      <c r="A195" s="670"/>
      <c r="B195" s="672"/>
      <c r="C195" s="672"/>
      <c r="D195" s="421" t="s">
        <v>13</v>
      </c>
      <c r="E195" s="421" t="s">
        <v>14</v>
      </c>
      <c r="F195" s="421" t="s">
        <v>15</v>
      </c>
      <c r="G195" s="421" t="s">
        <v>16</v>
      </c>
      <c r="H195" s="421" t="s">
        <v>17</v>
      </c>
      <c r="I195" s="421" t="s">
        <v>1120</v>
      </c>
    </row>
    <row r="196" spans="1:9" ht="13.5" thickBot="1">
      <c r="A196" s="416" t="s">
        <v>28</v>
      </c>
      <c r="B196" s="417">
        <v>11210</v>
      </c>
      <c r="C196" s="418">
        <v>388</v>
      </c>
      <c r="D196" s="418">
        <v>47</v>
      </c>
      <c r="E196" s="418">
        <v>27</v>
      </c>
      <c r="F196" s="418">
        <v>36</v>
      </c>
      <c r="G196" s="418">
        <v>69</v>
      </c>
      <c r="H196" s="418">
        <v>113</v>
      </c>
      <c r="I196" s="418">
        <v>96</v>
      </c>
    </row>
    <row r="197" spans="1:9" ht="13.5" thickBot="1">
      <c r="A197" s="419" t="s">
        <v>19</v>
      </c>
      <c r="B197" s="420">
        <v>13320</v>
      </c>
      <c r="C197" s="418">
        <v>348401</v>
      </c>
      <c r="D197" s="418">
        <v>10524</v>
      </c>
      <c r="E197" s="418" t="s">
        <v>9</v>
      </c>
      <c r="F197" s="418">
        <v>10182</v>
      </c>
      <c r="G197" s="418" t="s">
        <v>9</v>
      </c>
      <c r="H197" s="418">
        <v>106797</v>
      </c>
      <c r="I197" s="418">
        <v>62940</v>
      </c>
    </row>
    <row r="198" spans="1:9" ht="13.5" thickBot="1">
      <c r="A198" s="419" t="s">
        <v>1139</v>
      </c>
      <c r="B198" s="420">
        <v>16110</v>
      </c>
      <c r="C198" s="418">
        <v>24940</v>
      </c>
      <c r="D198" s="418">
        <v>1259</v>
      </c>
      <c r="E198" s="418">
        <v>644</v>
      </c>
      <c r="F198" s="418">
        <v>905</v>
      </c>
      <c r="G198" s="418">
        <v>8828</v>
      </c>
      <c r="H198" s="418">
        <v>9086</v>
      </c>
      <c r="I198" s="418">
        <v>4218</v>
      </c>
    </row>
    <row r="201" spans="1:10" ht="15" thickBot="1">
      <c r="A201" s="701" t="s">
        <v>495</v>
      </c>
      <c r="B201" s="681"/>
      <c r="C201" s="681"/>
      <c r="D201" s="681"/>
      <c r="E201" s="681"/>
      <c r="F201" s="681"/>
      <c r="G201" s="681"/>
      <c r="H201" s="681"/>
      <c r="I201" s="681"/>
      <c r="J201" s="681"/>
    </row>
    <row r="202" spans="1:8" ht="13.5" customHeight="1" thickBot="1">
      <c r="A202" s="673" t="s">
        <v>1803</v>
      </c>
      <c r="B202" s="675" t="s">
        <v>21</v>
      </c>
      <c r="C202" s="679" t="s">
        <v>1555</v>
      </c>
      <c r="D202" s="663" t="s">
        <v>1122</v>
      </c>
      <c r="E202" s="664"/>
      <c r="F202" s="664"/>
      <c r="G202" s="664"/>
      <c r="H202" s="665"/>
    </row>
    <row r="203" spans="1:8" ht="13.5" thickBot="1">
      <c r="A203" s="674"/>
      <c r="B203" s="676"/>
      <c r="C203" s="680"/>
      <c r="D203" s="422" t="s">
        <v>22</v>
      </c>
      <c r="E203" s="423" t="s">
        <v>5</v>
      </c>
      <c r="F203" s="423" t="s">
        <v>6</v>
      </c>
      <c r="G203" s="423" t="s">
        <v>7</v>
      </c>
      <c r="H203" s="423" t="s">
        <v>8</v>
      </c>
    </row>
    <row r="204" spans="1:8" ht="13.5" thickBot="1">
      <c r="A204" s="424" t="s">
        <v>1132</v>
      </c>
      <c r="B204" s="425">
        <v>11110</v>
      </c>
      <c r="C204" s="512">
        <v>382</v>
      </c>
      <c r="D204" s="513">
        <v>252</v>
      </c>
      <c r="E204" s="513">
        <v>42</v>
      </c>
      <c r="F204" s="513">
        <v>40</v>
      </c>
      <c r="G204" s="513">
        <v>30</v>
      </c>
      <c r="H204" s="513">
        <v>18</v>
      </c>
    </row>
    <row r="205" spans="1:8" ht="13.5" thickBot="1">
      <c r="A205" s="424" t="s">
        <v>10</v>
      </c>
      <c r="B205" s="425">
        <v>12110</v>
      </c>
      <c r="C205" s="512">
        <v>2904390</v>
      </c>
      <c r="D205" s="513">
        <v>37933</v>
      </c>
      <c r="E205" s="513">
        <v>235444</v>
      </c>
      <c r="F205" s="513">
        <v>67128</v>
      </c>
      <c r="G205" s="513">
        <v>175772</v>
      </c>
      <c r="H205" s="513">
        <v>2388113</v>
      </c>
    </row>
    <row r="206" spans="1:8" ht="13.5" thickBot="1">
      <c r="A206" s="424" t="s">
        <v>11</v>
      </c>
      <c r="B206" s="425">
        <v>12150</v>
      </c>
      <c r="C206" s="512">
        <v>1659949</v>
      </c>
      <c r="D206" s="513">
        <v>23650</v>
      </c>
      <c r="E206" s="514" t="s">
        <v>9</v>
      </c>
      <c r="F206" s="514" t="s">
        <v>9</v>
      </c>
      <c r="G206" s="513">
        <v>58522</v>
      </c>
      <c r="H206" s="513">
        <v>1395135</v>
      </c>
    </row>
    <row r="207" spans="1:8" ht="13.5" thickBot="1">
      <c r="A207" s="424" t="s">
        <v>1139</v>
      </c>
      <c r="B207" s="425">
        <v>16110</v>
      </c>
      <c r="C207" s="512">
        <v>25030</v>
      </c>
      <c r="D207" s="513">
        <v>639</v>
      </c>
      <c r="E207" s="513">
        <v>620</v>
      </c>
      <c r="F207" s="513">
        <v>1170</v>
      </c>
      <c r="G207" s="513">
        <v>3279</v>
      </c>
      <c r="H207" s="513">
        <v>19322</v>
      </c>
    </row>
    <row r="208" spans="1:8" ht="13.5" thickBot="1">
      <c r="A208" s="116" t="s">
        <v>23</v>
      </c>
      <c r="B208" s="439"/>
      <c r="C208" s="428">
        <v>414</v>
      </c>
      <c r="D208" s="429">
        <v>284</v>
      </c>
      <c r="E208" s="716">
        <v>85</v>
      </c>
      <c r="F208" s="717"/>
      <c r="G208" s="429">
        <v>27</v>
      </c>
      <c r="H208" s="429">
        <v>18</v>
      </c>
    </row>
    <row r="209" spans="1:8" ht="13.5" thickBot="1">
      <c r="A209" s="118" t="s">
        <v>24</v>
      </c>
      <c r="B209" s="439"/>
      <c r="C209" s="428">
        <v>24916</v>
      </c>
      <c r="D209" s="429">
        <v>604</v>
      </c>
      <c r="E209" s="716">
        <v>1877</v>
      </c>
      <c r="F209" s="717"/>
      <c r="G209" s="429">
        <v>3118</v>
      </c>
      <c r="H209" s="429">
        <v>19317</v>
      </c>
    </row>
    <row r="210" spans="1:8" ht="13.5" thickBot="1">
      <c r="A210" s="116" t="s">
        <v>25</v>
      </c>
      <c r="B210" s="439"/>
      <c r="C210" s="428">
        <v>2375601</v>
      </c>
      <c r="D210" s="429">
        <v>103082</v>
      </c>
      <c r="E210" s="716">
        <v>127199</v>
      </c>
      <c r="F210" s="717"/>
      <c r="G210" s="429">
        <v>191292</v>
      </c>
      <c r="H210" s="429">
        <v>1954028</v>
      </c>
    </row>
    <row r="211" spans="1:8" ht="21.75" thickBot="1">
      <c r="A211" s="116" t="s">
        <v>26</v>
      </c>
      <c r="B211" s="439"/>
      <c r="C211" s="428">
        <v>3177390</v>
      </c>
      <c r="D211" s="429">
        <v>75934</v>
      </c>
      <c r="E211" s="716">
        <v>371437</v>
      </c>
      <c r="F211" s="717"/>
      <c r="G211" s="429">
        <v>173952</v>
      </c>
      <c r="H211" s="429">
        <v>2556067</v>
      </c>
    </row>
    <row r="212" spans="1:8" ht="21.75" thickBot="1">
      <c r="A212" s="118" t="s">
        <v>27</v>
      </c>
      <c r="B212" s="512"/>
      <c r="C212" s="428">
        <v>2330504</v>
      </c>
      <c r="D212" s="429">
        <v>66421</v>
      </c>
      <c r="E212" s="716">
        <v>247138</v>
      </c>
      <c r="F212" s="717"/>
      <c r="G212" s="429">
        <v>186515</v>
      </c>
      <c r="H212" s="429">
        <v>1830430</v>
      </c>
    </row>
    <row r="213" spans="1:9" ht="13.5" thickBot="1">
      <c r="A213" s="669" t="s">
        <v>1803</v>
      </c>
      <c r="B213" s="671" t="s">
        <v>21</v>
      </c>
      <c r="C213" s="671" t="s">
        <v>1555</v>
      </c>
      <c r="D213" s="712" t="s">
        <v>496</v>
      </c>
      <c r="E213" s="713"/>
      <c r="F213" s="714"/>
      <c r="G213" s="714"/>
      <c r="H213" s="714"/>
      <c r="I213" s="715"/>
    </row>
    <row r="214" spans="1:9" ht="21.75" thickBot="1">
      <c r="A214" s="670"/>
      <c r="B214" s="672"/>
      <c r="C214" s="672"/>
      <c r="D214" s="438" t="s">
        <v>13</v>
      </c>
      <c r="E214" s="438" t="s">
        <v>14</v>
      </c>
      <c r="F214" s="438" t="s">
        <v>15</v>
      </c>
      <c r="G214" s="438" t="s">
        <v>16</v>
      </c>
      <c r="H214" s="438" t="s">
        <v>17</v>
      </c>
      <c r="I214" s="438" t="s">
        <v>18</v>
      </c>
    </row>
    <row r="215" spans="1:9" ht="13.5" thickBot="1">
      <c r="A215" s="416" t="s">
        <v>28</v>
      </c>
      <c r="B215" s="417">
        <v>11210</v>
      </c>
      <c r="C215" s="437">
        <v>399</v>
      </c>
      <c r="D215" s="437">
        <v>42</v>
      </c>
      <c r="E215" s="437">
        <v>30</v>
      </c>
      <c r="F215" s="437">
        <v>39</v>
      </c>
      <c r="G215" s="437">
        <v>75</v>
      </c>
      <c r="H215" s="437">
        <v>115</v>
      </c>
      <c r="I215" s="437">
        <v>98</v>
      </c>
    </row>
    <row r="216" spans="1:9" ht="13.5" thickBot="1">
      <c r="A216" s="419" t="s">
        <v>19</v>
      </c>
      <c r="B216" s="420">
        <v>13320</v>
      </c>
      <c r="C216" s="437">
        <v>375489</v>
      </c>
      <c r="D216" s="437">
        <v>13145</v>
      </c>
      <c r="E216" s="437" t="s">
        <v>9</v>
      </c>
      <c r="F216" s="437">
        <v>10873</v>
      </c>
      <c r="G216" s="437" t="s">
        <v>9</v>
      </c>
      <c r="H216" s="437">
        <v>109042</v>
      </c>
      <c r="I216" s="437">
        <v>68917</v>
      </c>
    </row>
    <row r="217" spans="1:9" ht="13.5" thickBot="1">
      <c r="A217" s="419" t="s">
        <v>1139</v>
      </c>
      <c r="B217" s="420">
        <v>16110</v>
      </c>
      <c r="C217" s="437">
        <v>25019</v>
      </c>
      <c r="D217" s="437">
        <v>1363</v>
      </c>
      <c r="E217" s="437">
        <v>731</v>
      </c>
      <c r="F217" s="437">
        <v>893</v>
      </c>
      <c r="G217" s="437">
        <v>8849</v>
      </c>
      <c r="H217" s="437">
        <v>8922</v>
      </c>
      <c r="I217" s="437">
        <v>4261</v>
      </c>
    </row>
    <row r="220" spans="1:10" ht="15" thickBot="1">
      <c r="A220" s="701" t="s">
        <v>944</v>
      </c>
      <c r="B220" s="681"/>
      <c r="C220" s="681"/>
      <c r="D220" s="681"/>
      <c r="E220" s="681"/>
      <c r="F220" s="681"/>
      <c r="G220" s="681"/>
      <c r="H220" s="681"/>
      <c r="I220" s="681"/>
      <c r="J220" s="681"/>
    </row>
    <row r="221" spans="1:8" ht="13.5" thickBot="1">
      <c r="A221" s="673" t="s">
        <v>1803</v>
      </c>
      <c r="B221" s="675" t="s">
        <v>21</v>
      </c>
      <c r="C221" s="679" t="s">
        <v>1555</v>
      </c>
      <c r="D221" s="663" t="s">
        <v>1122</v>
      </c>
      <c r="E221" s="664"/>
      <c r="F221" s="664"/>
      <c r="G221" s="664"/>
      <c r="H221" s="665"/>
    </row>
    <row r="222" spans="1:8" ht="13.5" thickBot="1">
      <c r="A222" s="674"/>
      <c r="B222" s="676"/>
      <c r="C222" s="680"/>
      <c r="D222" s="422" t="s">
        <v>22</v>
      </c>
      <c r="E222" s="423" t="s">
        <v>5</v>
      </c>
      <c r="F222" s="423" t="s">
        <v>6</v>
      </c>
      <c r="G222" s="423" t="s">
        <v>7</v>
      </c>
      <c r="H222" s="423" t="s">
        <v>8</v>
      </c>
    </row>
    <row r="223" spans="1:8" ht="13.5" thickBot="1">
      <c r="A223" s="424" t="s">
        <v>1132</v>
      </c>
      <c r="B223" s="425">
        <v>11110</v>
      </c>
      <c r="C223" s="512">
        <v>386</v>
      </c>
      <c r="D223" s="513">
        <v>243</v>
      </c>
      <c r="E223" s="513">
        <v>56</v>
      </c>
      <c r="F223" s="513">
        <v>39</v>
      </c>
      <c r="G223" s="513">
        <v>29</v>
      </c>
      <c r="H223" s="513">
        <v>19</v>
      </c>
    </row>
    <row r="224" spans="1:8" ht="13.5" thickBot="1">
      <c r="A224" s="424" t="s">
        <v>10</v>
      </c>
      <c r="B224" s="425">
        <v>12110</v>
      </c>
      <c r="C224" s="512">
        <v>2520238</v>
      </c>
      <c r="D224" s="513">
        <v>36638</v>
      </c>
      <c r="E224" s="513">
        <v>92648</v>
      </c>
      <c r="F224" s="513">
        <v>166626</v>
      </c>
      <c r="G224" s="513">
        <v>192016</v>
      </c>
      <c r="H224" s="513">
        <v>2032310</v>
      </c>
    </row>
    <row r="225" spans="1:8" ht="13.5" thickBot="1">
      <c r="A225" s="424" t="s">
        <v>11</v>
      </c>
      <c r="B225" s="425">
        <v>12150</v>
      </c>
      <c r="C225" s="512">
        <v>1299009</v>
      </c>
      <c r="D225" s="513">
        <v>4039</v>
      </c>
      <c r="E225" s="513">
        <v>20214</v>
      </c>
      <c r="F225" s="513">
        <v>101322</v>
      </c>
      <c r="G225" s="513">
        <v>69923</v>
      </c>
      <c r="H225" s="513">
        <v>1103511</v>
      </c>
    </row>
    <row r="226" spans="1:8" ht="13.5" thickBot="1">
      <c r="A226" s="424" t="s">
        <v>1139</v>
      </c>
      <c r="B226" s="425">
        <v>16110</v>
      </c>
      <c r="C226" s="512">
        <v>24635</v>
      </c>
      <c r="D226" s="513">
        <v>609</v>
      </c>
      <c r="E226" s="513">
        <v>749</v>
      </c>
      <c r="F226" s="513">
        <v>1092</v>
      </c>
      <c r="G226" s="513">
        <v>2934</v>
      </c>
      <c r="H226" s="513">
        <v>19251</v>
      </c>
    </row>
    <row r="227" spans="1:8" ht="13.5" thickBot="1">
      <c r="A227" s="116" t="s">
        <v>23</v>
      </c>
      <c r="B227" s="425"/>
      <c r="C227" s="512">
        <v>429</v>
      </c>
      <c r="D227" s="513">
        <v>293</v>
      </c>
      <c r="E227" s="718">
        <v>88</v>
      </c>
      <c r="F227" s="719"/>
      <c r="G227" s="513">
        <v>29</v>
      </c>
      <c r="H227" s="513">
        <v>19</v>
      </c>
    </row>
    <row r="228" spans="1:8" ht="13.5" thickBot="1">
      <c r="A228" s="118" t="s">
        <v>24</v>
      </c>
      <c r="B228" s="425"/>
      <c r="C228" s="512">
        <v>24498</v>
      </c>
      <c r="D228" s="513">
        <v>635</v>
      </c>
      <c r="E228" s="718">
        <v>1703</v>
      </c>
      <c r="F228" s="719"/>
      <c r="G228" s="513">
        <v>2920</v>
      </c>
      <c r="H228" s="513">
        <v>19240</v>
      </c>
    </row>
    <row r="229" spans="1:8" ht="13.5" thickBot="1">
      <c r="A229" s="116" t="s">
        <v>25</v>
      </c>
      <c r="B229" s="425"/>
      <c r="C229" s="512">
        <v>2425580</v>
      </c>
      <c r="D229" s="513">
        <v>67119</v>
      </c>
      <c r="E229" s="718">
        <v>164242</v>
      </c>
      <c r="F229" s="719"/>
      <c r="G229" s="513">
        <v>230812</v>
      </c>
      <c r="H229" s="513">
        <v>1963407</v>
      </c>
    </row>
    <row r="230" spans="1:8" ht="21.75" thickBot="1">
      <c r="A230" s="116" t="s">
        <v>26</v>
      </c>
      <c r="B230" s="425"/>
      <c r="C230" s="512">
        <v>2745745</v>
      </c>
      <c r="D230" s="513">
        <v>62533</v>
      </c>
      <c r="E230" s="718">
        <v>277578</v>
      </c>
      <c r="F230" s="719"/>
      <c r="G230" s="513">
        <v>227118</v>
      </c>
      <c r="H230" s="513">
        <v>2178516</v>
      </c>
    </row>
    <row r="231" spans="1:8" ht="21.75" thickBot="1">
      <c r="A231" s="118" t="s">
        <v>27</v>
      </c>
      <c r="B231" s="512"/>
      <c r="C231" s="512">
        <v>2294898</v>
      </c>
      <c r="D231" s="513">
        <v>104810</v>
      </c>
      <c r="E231" s="718">
        <v>240030</v>
      </c>
      <c r="F231" s="719"/>
      <c r="G231" s="513">
        <v>216054</v>
      </c>
      <c r="H231" s="513">
        <v>1734004</v>
      </c>
    </row>
    <row r="232" spans="1:9" ht="13.5" thickBot="1">
      <c r="A232" s="669" t="s">
        <v>1803</v>
      </c>
      <c r="B232" s="671" t="s">
        <v>21</v>
      </c>
      <c r="C232" s="671" t="s">
        <v>1555</v>
      </c>
      <c r="D232" s="712" t="s">
        <v>496</v>
      </c>
      <c r="E232" s="713"/>
      <c r="F232" s="714"/>
      <c r="G232" s="714"/>
      <c r="H232" s="714"/>
      <c r="I232" s="715"/>
    </row>
    <row r="233" spans="1:9" ht="21.75" thickBot="1">
      <c r="A233" s="670"/>
      <c r="B233" s="672"/>
      <c r="C233" s="672"/>
      <c r="D233" s="438" t="s">
        <v>13</v>
      </c>
      <c r="E233" s="438" t="s">
        <v>14</v>
      </c>
      <c r="F233" s="438" t="s">
        <v>15</v>
      </c>
      <c r="G233" s="438" t="s">
        <v>16</v>
      </c>
      <c r="H233" s="438" t="s">
        <v>17</v>
      </c>
      <c r="I233" s="438" t="s">
        <v>18</v>
      </c>
    </row>
    <row r="234" spans="1:9" ht="13.5" thickBot="1">
      <c r="A234" s="416" t="s">
        <v>28</v>
      </c>
      <c r="B234" s="417">
        <v>11210</v>
      </c>
      <c r="C234" s="418">
        <v>414</v>
      </c>
      <c r="D234" s="418">
        <v>49</v>
      </c>
      <c r="E234" s="418">
        <v>27</v>
      </c>
      <c r="F234" s="418">
        <v>39</v>
      </c>
      <c r="G234" s="418">
        <v>84</v>
      </c>
      <c r="H234" s="418">
        <v>123</v>
      </c>
      <c r="I234" s="418">
        <v>92</v>
      </c>
    </row>
    <row r="235" spans="1:9" ht="13.5" thickBot="1">
      <c r="A235" s="419" t="s">
        <v>19</v>
      </c>
      <c r="B235" s="420">
        <v>13320</v>
      </c>
      <c r="C235" s="418">
        <v>379211</v>
      </c>
      <c r="D235" s="512">
        <v>14168</v>
      </c>
      <c r="E235" s="512">
        <v>5356</v>
      </c>
      <c r="F235" s="418">
        <v>11398</v>
      </c>
      <c r="G235" s="512">
        <v>159383</v>
      </c>
      <c r="H235" s="418">
        <v>116187</v>
      </c>
      <c r="I235" s="418">
        <v>72719</v>
      </c>
    </row>
    <row r="236" spans="1:9" ht="13.5" thickBot="1">
      <c r="A236" s="419" t="s">
        <v>1139</v>
      </c>
      <c r="B236" s="420">
        <v>16110</v>
      </c>
      <c r="C236" s="418">
        <v>24646</v>
      </c>
      <c r="D236" s="418">
        <v>1449</v>
      </c>
      <c r="E236" s="418">
        <v>639</v>
      </c>
      <c r="F236" s="418">
        <v>902</v>
      </c>
      <c r="G236" s="418">
        <v>8829</v>
      </c>
      <c r="H236" s="418">
        <v>8504</v>
      </c>
      <c r="I236" s="418">
        <v>4323</v>
      </c>
    </row>
  </sheetData>
  <sheetProtection/>
  <mergeCells count="153">
    <mergeCell ref="B221:B222"/>
    <mergeCell ref="A232:A233"/>
    <mergeCell ref="B232:B233"/>
    <mergeCell ref="C232:C233"/>
    <mergeCell ref="D232:I232"/>
    <mergeCell ref="C221:C222"/>
    <mergeCell ref="D221:H221"/>
    <mergeCell ref="D202:H202"/>
    <mergeCell ref="E227:F227"/>
    <mergeCell ref="E229:F229"/>
    <mergeCell ref="E230:F230"/>
    <mergeCell ref="E231:F231"/>
    <mergeCell ref="E210:F210"/>
    <mergeCell ref="E211:F211"/>
    <mergeCell ref="E228:F228"/>
    <mergeCell ref="A220:J220"/>
    <mergeCell ref="A221:A222"/>
    <mergeCell ref="A182:J182"/>
    <mergeCell ref="E193:F193"/>
    <mergeCell ref="E212:F212"/>
    <mergeCell ref="E192:F192"/>
    <mergeCell ref="E208:F208"/>
    <mergeCell ref="E209:F209"/>
    <mergeCell ref="E191:F191"/>
    <mergeCell ref="A201:J201"/>
    <mergeCell ref="A202:A203"/>
    <mergeCell ref="B202:B203"/>
    <mergeCell ref="A163:J163"/>
    <mergeCell ref="A175:A176"/>
    <mergeCell ref="C202:C203"/>
    <mergeCell ref="A213:A214"/>
    <mergeCell ref="B213:B214"/>
    <mergeCell ref="C213:C214"/>
    <mergeCell ref="D213:I213"/>
    <mergeCell ref="E171:F171"/>
    <mergeCell ref="E172:F172"/>
    <mergeCell ref="E173:F173"/>
    <mergeCell ref="D126:H126"/>
    <mergeCell ref="D137:I137"/>
    <mergeCell ref="E132:F132"/>
    <mergeCell ref="E133:F133"/>
    <mergeCell ref="E134:F134"/>
    <mergeCell ref="E135:F135"/>
    <mergeCell ref="E136:F136"/>
    <mergeCell ref="D87:I87"/>
    <mergeCell ref="D72:I72"/>
    <mergeCell ref="E152:F152"/>
    <mergeCell ref="C102:C103"/>
    <mergeCell ref="D102:I102"/>
    <mergeCell ref="D111:H111"/>
    <mergeCell ref="C111:C112"/>
    <mergeCell ref="C126:C127"/>
    <mergeCell ref="C117:C118"/>
    <mergeCell ref="D117:I117"/>
    <mergeCell ref="C42:C43"/>
    <mergeCell ref="C36:C37"/>
    <mergeCell ref="D66:H66"/>
    <mergeCell ref="D36:H36"/>
    <mergeCell ref="D42:I42"/>
    <mergeCell ref="D51:H51"/>
    <mergeCell ref="D57:I57"/>
    <mergeCell ref="A50:J50"/>
    <mergeCell ref="A51:A52"/>
    <mergeCell ref="C66:C67"/>
    <mergeCell ref="A137:A138"/>
    <mergeCell ref="B137:B138"/>
    <mergeCell ref="A110:J110"/>
    <mergeCell ref="E153:F153"/>
    <mergeCell ref="A117:A118"/>
    <mergeCell ref="B117:B118"/>
    <mergeCell ref="C137:C138"/>
    <mergeCell ref="D145:H145"/>
    <mergeCell ref="C145:C146"/>
    <mergeCell ref="E151:F151"/>
    <mergeCell ref="A156:A157"/>
    <mergeCell ref="B156:B157"/>
    <mergeCell ref="A144:J144"/>
    <mergeCell ref="A145:A146"/>
    <mergeCell ref="B145:B146"/>
    <mergeCell ref="E154:F154"/>
    <mergeCell ref="E155:F155"/>
    <mergeCell ref="C156:C157"/>
    <mergeCell ref="D156:I156"/>
    <mergeCell ref="A72:A73"/>
    <mergeCell ref="B72:B73"/>
    <mergeCell ref="A57:A58"/>
    <mergeCell ref="B57:B58"/>
    <mergeCell ref="A65:J65"/>
    <mergeCell ref="A66:A67"/>
    <mergeCell ref="B66:B67"/>
    <mergeCell ref="C57:C58"/>
    <mergeCell ref="C72:C73"/>
    <mergeCell ref="A42:A43"/>
    <mergeCell ref="B42:B43"/>
    <mergeCell ref="B126:B127"/>
    <mergeCell ref="A87:A88"/>
    <mergeCell ref="B87:B88"/>
    <mergeCell ref="A95:J95"/>
    <mergeCell ref="A96:A97"/>
    <mergeCell ref="B96:B97"/>
    <mergeCell ref="A125:J125"/>
    <mergeCell ref="A126:A127"/>
    <mergeCell ref="A111:A112"/>
    <mergeCell ref="B111:B112"/>
    <mergeCell ref="A80:J80"/>
    <mergeCell ref="A81:A82"/>
    <mergeCell ref="B81:B82"/>
    <mergeCell ref="D81:H81"/>
    <mergeCell ref="A102:A103"/>
    <mergeCell ref="B102:B103"/>
    <mergeCell ref="D96:H96"/>
    <mergeCell ref="C96:C97"/>
    <mergeCell ref="B51:B52"/>
    <mergeCell ref="C51:C52"/>
    <mergeCell ref="A1:J1"/>
    <mergeCell ref="J2:J3"/>
    <mergeCell ref="F2:F3"/>
    <mergeCell ref="G2:G3"/>
    <mergeCell ref="H2:H3"/>
    <mergeCell ref="I2:I3"/>
    <mergeCell ref="D2:D3"/>
    <mergeCell ref="C2:C3"/>
    <mergeCell ref="M2:M3"/>
    <mergeCell ref="N2:N3"/>
    <mergeCell ref="O2:O3"/>
    <mergeCell ref="P2:P3"/>
    <mergeCell ref="K2:K3"/>
    <mergeCell ref="L2:L3"/>
    <mergeCell ref="A35:J35"/>
    <mergeCell ref="A36:A37"/>
    <mergeCell ref="B36:B37"/>
    <mergeCell ref="A2:A3"/>
    <mergeCell ref="B2:B3"/>
    <mergeCell ref="E2:E3"/>
    <mergeCell ref="B175:B176"/>
    <mergeCell ref="A164:A165"/>
    <mergeCell ref="B164:B165"/>
    <mergeCell ref="D164:H164"/>
    <mergeCell ref="C164:C165"/>
    <mergeCell ref="D175:I175"/>
    <mergeCell ref="C175:C176"/>
    <mergeCell ref="E170:F170"/>
    <mergeCell ref="E174:F174"/>
    <mergeCell ref="D183:H183"/>
    <mergeCell ref="D194:I194"/>
    <mergeCell ref="A194:A195"/>
    <mergeCell ref="B194:B195"/>
    <mergeCell ref="A183:A184"/>
    <mergeCell ref="B183:B184"/>
    <mergeCell ref="C194:C195"/>
    <mergeCell ref="E189:F189"/>
    <mergeCell ref="E190:F190"/>
    <mergeCell ref="C183:C184"/>
  </mergeCells>
  <printOptions horizontalCentered="1"/>
  <pageMargins left="0.1968503937007874" right="0.1968503937007874" top="0.984251968503937" bottom="0.3937007874015748" header="0.15748031496062992" footer="0.1968503937007874"/>
  <pageSetup horizontalDpi="600" verticalDpi="600" orientation="landscape" paperSize="9" scale="80" r:id="rId1"/>
  <rowBreaks count="4" manualBreakCount="4">
    <brk id="34" max="255" man="1"/>
    <brk id="64" max="255" man="1"/>
    <brk id="9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Kiril Vasilev</cp:lastModifiedBy>
  <cp:lastPrinted>2015-06-19T07:35:48Z</cp:lastPrinted>
  <dcterms:created xsi:type="dcterms:W3CDTF">2011-05-10T05:44:47Z</dcterms:created>
  <dcterms:modified xsi:type="dcterms:W3CDTF">2015-10-05T14:45:35Z</dcterms:modified>
  <cp:category/>
  <cp:version/>
  <cp:contentType/>
  <cp:contentStatus/>
</cp:coreProperties>
</file>